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65" windowWidth="12120" windowHeight="5640" tabRatio="802" activeTab="0"/>
  </bookViews>
  <sheets>
    <sheet name="Units" sheetId="1" r:id="rId1"/>
    <sheet name="$s @ IC" sheetId="2" r:id="rId2"/>
    <sheet name="$s @ YR 10" sheetId="3" r:id="rId3"/>
    <sheet name="Section 6.03" sheetId="4" r:id="rId4"/>
  </sheets>
  <definedNames>
    <definedName name="_xlnm.Print_Area" localSheetId="1">'$s @ IC'!$A$1:$K$47</definedName>
    <definedName name="_xlnm.Print_Area" localSheetId="2">'$s @ YR 10'!$A$1:$K$48</definedName>
    <definedName name="_xlnm.Print_Area" localSheetId="3">'Section 6.03'!$A$1:$Y$53</definedName>
    <definedName name="_xlnm.Print_Area" localSheetId="0">'Units'!$A$1:$L$45</definedName>
    <definedName name="solver_adj" localSheetId="2" hidden="1">'$s @ YR 10'!$H$12,'$s @ YR 10'!$H$13,'$s @ YR 10'!$H$14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'$s @ YR 10'!$J$12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'$s @ YR 10'!$I$14</definedName>
    <definedName name="solver_pre" localSheetId="2" hidden="1">0.000001</definedName>
    <definedName name="solver_rel1" localSheetId="2" hidden="1">3</definedName>
    <definedName name="solver_rhs1" localSheetId="2" hidden="1">0.75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0.075</definedName>
  </definedNames>
  <calcPr calcMode="manual" fullCalcOnLoad="1" iterate="1" iterateCount="1000" iterateDelta="0.1"/>
</workbook>
</file>

<file path=xl/sharedStrings.xml><?xml version="1.0" encoding="utf-8"?>
<sst xmlns="http://schemas.openxmlformats.org/spreadsheetml/2006/main" count="309" uniqueCount="56">
  <si>
    <t>Classification</t>
  </si>
  <si>
    <t>Units</t>
  </si>
  <si>
    <t>% of Total Units</t>
  </si>
  <si>
    <t>% of Total Common Units</t>
  </si>
  <si>
    <t>Class E Activated</t>
  </si>
  <si>
    <t>Total equity</t>
  </si>
  <si>
    <t>% of Total $</t>
  </si>
  <si>
    <t>% of Total Common $</t>
  </si>
  <si>
    <t>Annual Distributions Formula</t>
  </si>
  <si>
    <t xml:space="preserve">  x Distributable Cash</t>
  </si>
  <si>
    <t>Total Units - Class K Preferred Units</t>
  </si>
  <si>
    <t>Class K Common Units + Class E Activated Units</t>
  </si>
  <si>
    <t xml:space="preserve">MH Common = </t>
  </si>
  <si>
    <t xml:space="preserve">KCN Common = </t>
  </si>
  <si>
    <t>MH</t>
  </si>
  <si>
    <t>KCN Common *</t>
  </si>
  <si>
    <t>KCN Preferred</t>
  </si>
  <si>
    <t>Class E Inactivated</t>
  </si>
  <si>
    <t>KCN Common</t>
  </si>
  <si>
    <t>KCN Preferred **</t>
  </si>
  <si>
    <t>Class M Units + Class K Units Hydro owns + Class E Inactivated Units</t>
  </si>
  <si>
    <t>UNITS AND CAPITAL ACCOUNTS 10 YEARS AFTER FINAL CLOSE</t>
  </si>
  <si>
    <t>Cash Call Required of Common Unit Holders</t>
  </si>
  <si>
    <t>Cash Call Received from Common Unit Holders</t>
  </si>
  <si>
    <t>Total Cash Call Required</t>
  </si>
  <si>
    <t>Total Cash Call Received from Class E Activated Unit Holders</t>
  </si>
  <si>
    <t>Capital Accounts after Cash Call</t>
  </si>
  <si>
    <t>Unit Ownership after Cash Call</t>
  </si>
  <si>
    <t>Difference between Cash Req'd and Cash Rec'd</t>
  </si>
  <si>
    <t>Equivalent Units to be transferred</t>
  </si>
  <si>
    <t>CAPITAL ACCOUNTS ASSUMING ACTIVATION OF E UNITS ON INITIAL CLOSE</t>
  </si>
  <si>
    <t>CAPITAL ACCOUNTS ASSUMING ACTIVATION OF E UNITS 10 YEARS AFTER FINAL CLOSE</t>
  </si>
  <si>
    <t>% of Total Common $ &amp; % of Total Common Units</t>
  </si>
  <si>
    <t>Total Capital Accounts of Partners holding Class M Units, Class K Common Units, Class E Activated Units and Class E Inactivated Units after considering the Required Cash Call</t>
  </si>
  <si>
    <t>Total Class M Units, Class K Common Units, Class E Activated Units and Class E Inactivated Units</t>
  </si>
  <si>
    <t>Difference between the Cash Call Required and the Cash Call Received divided by</t>
  </si>
  <si>
    <t>* Number of Units to be Transferred =</t>
  </si>
  <si>
    <t>ILLUSTRATIVE EXAMPLE OF ADDITIONAL CAPITAL CONTRIBUTIONS IN SECTION 6.03 (c) &amp; (d) OF THE LIMITED PARTNERSHIP AGREEMENT</t>
  </si>
  <si>
    <t>Assumed In-service cost</t>
  </si>
  <si>
    <t>Assumed book value of total equity 10 years after Final Close</t>
  </si>
  <si>
    <t>* KCN Common Units = 60% x KCN Common Units from Option 1</t>
  </si>
  <si>
    <t>** KCN Preferred Units = 40% x KCN Preferred Units from Option 2</t>
  </si>
  <si>
    <t>ILLUSTRATIVE EXAMPLE OF THE ACTIVATION OF E UNITS FROM SECTION 5.09 (e) OF THE LIMITED PARTNERSHIP AGREEMENT IN COMBINATION WITH DIFFERENT SCENARIOS REGARDING THE KEEYASK CREE NATION'S ELECTION OF PREFERRED EQUITY OPTION</t>
  </si>
  <si>
    <t>OPTION 1 - ALL KCN ELECT COMMON EQUITY OPTION</t>
  </si>
  <si>
    <t>OPTION 1 - KCN ACTIVATE ALL OF THEIR CLASS E UNITS</t>
  </si>
  <si>
    <t>OPTION 2 - ALL KCN ELECT PREFERRED EQUITY OPTION</t>
  </si>
  <si>
    <t>OPTION 2 - KCN ACTIVATE SOME OF THEIR CLASS E UNITS</t>
  </si>
  <si>
    <t>OPTION 3 - CNP ELECT COMMON EQUITY OPTION AND FOX &amp; YORK ELECT PREFERRED EQUITY OPTION</t>
  </si>
  <si>
    <t>OPTION 3 - KCN ACTIVATE ALL OF THEIR CLASS E UNITS</t>
  </si>
  <si>
    <t>Appendix A</t>
  </si>
  <si>
    <t>Appendix A continued</t>
  </si>
  <si>
    <t>Appendix B</t>
  </si>
  <si>
    <t>Page 1 of 3</t>
  </si>
  <si>
    <t>Page 2 of 3</t>
  </si>
  <si>
    <t>Page 3 of 3</t>
  </si>
  <si>
    <t>Page 1 of 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</si>
</sst>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00_);_(* \(#,##0.000\);_(* &quot;-&quot;???_);_(@_)"/>
    <numFmt numFmtId="176" formatCode="&quot;$&quot;#,##0.000_);\(&quot;$&quot;#,##0.000\)"/>
    <numFmt numFmtId="177" formatCode="_(* #,##0.0_);_(* \(#,##0.0\);_(* &quot;-&quot;?_);_(@_)"/>
    <numFmt numFmtId="178" formatCode="0.000%"/>
    <numFmt numFmtId="179" formatCode="_(* #,##0.0_);_(* \(#,##0.0\);_(* &quot;-&quot;??_);_(@_)"/>
    <numFmt numFmtId="180" formatCode="_(* #,##0_);_(* \(#,##0\);_(* &quot;-&quot;??_);_(@_)"/>
    <numFmt numFmtId="181" formatCode="0.000000000000000000%"/>
    <numFmt numFmtId="182" formatCode="0.000000000000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7" fontId="0" fillId="0" borderId="1" xfId="0" applyNumberFormat="1" applyBorder="1" applyAlignment="1">
      <alignment/>
    </xf>
    <xf numFmtId="172" fontId="0" fillId="0" borderId="1" xfId="19" applyNumberFormat="1" applyBorder="1" applyAlignment="1">
      <alignment/>
    </xf>
    <xf numFmtId="0" fontId="0" fillId="0" borderId="0" xfId="0" applyAlignment="1">
      <alignment horizontal="right" vertical="top" wrapText="1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right" vertical="top" wrapText="1"/>
    </xf>
    <xf numFmtId="172" fontId="0" fillId="0" borderId="0" xfId="19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174" fontId="0" fillId="0" borderId="0" xfId="17" applyNumberFormat="1" applyFont="1" applyBorder="1" applyAlignment="1">
      <alignment/>
    </xf>
    <xf numFmtId="174" fontId="0" fillId="0" borderId="0" xfId="17" applyNumberFormat="1" applyBorder="1" applyAlignment="1">
      <alignment/>
    </xf>
    <xf numFmtId="174" fontId="0" fillId="0" borderId="1" xfId="17" applyNumberFormat="1" applyBorder="1" applyAlignment="1">
      <alignment/>
    </xf>
    <xf numFmtId="0" fontId="0" fillId="0" borderId="2" xfId="0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0" xfId="19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74" fontId="1" fillId="0" borderId="0" xfId="17" applyNumberFormat="1" applyFont="1" applyFill="1" applyAlignment="1">
      <alignment/>
    </xf>
    <xf numFmtId="0" fontId="1" fillId="0" borderId="0" xfId="0" applyFont="1" applyFill="1" applyAlignment="1">
      <alignment/>
    </xf>
    <xf numFmtId="190" fontId="0" fillId="0" borderId="0" xfId="0" applyNumberFormat="1" applyAlignment="1">
      <alignment/>
    </xf>
    <xf numFmtId="0" fontId="0" fillId="0" borderId="5" xfId="0" applyBorder="1" applyAlignment="1">
      <alignment horizontal="right" vertical="top" wrapText="1"/>
    </xf>
    <xf numFmtId="174" fontId="0" fillId="0" borderId="5" xfId="17" applyNumberFormat="1" applyBorder="1" applyAlignment="1">
      <alignment/>
    </xf>
    <xf numFmtId="174" fontId="0" fillId="0" borderId="6" xfId="0" applyNumberFormat="1" applyBorder="1" applyAlignment="1">
      <alignment/>
    </xf>
    <xf numFmtId="174" fontId="0" fillId="0" borderId="0" xfId="17" applyNumberFormat="1" applyFill="1" applyBorder="1" applyAlignment="1">
      <alignment/>
    </xf>
    <xf numFmtId="174" fontId="0" fillId="0" borderId="7" xfId="17" applyNumberFormat="1" applyBorder="1" applyAlignment="1">
      <alignment/>
    </xf>
    <xf numFmtId="172" fontId="0" fillId="0" borderId="6" xfId="19" applyNumberFormat="1" applyBorder="1" applyAlignment="1">
      <alignment/>
    </xf>
    <xf numFmtId="172" fontId="0" fillId="0" borderId="8" xfId="19" applyNumberFormat="1" applyBorder="1" applyAlignment="1">
      <alignment/>
    </xf>
    <xf numFmtId="174" fontId="1" fillId="0" borderId="2" xfId="17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74" fontId="1" fillId="0" borderId="7" xfId="17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74" fontId="1" fillId="0" borderId="0" xfId="17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172" fontId="0" fillId="0" borderId="0" xfId="19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172" fontId="0" fillId="0" borderId="1" xfId="19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/>
    </xf>
    <xf numFmtId="172" fontId="0" fillId="0" borderId="0" xfId="19" applyNumberFormat="1" applyBorder="1" applyAlignment="1">
      <alignment horizontal="center" vertical="center"/>
    </xf>
    <xf numFmtId="190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172" fontId="0" fillId="0" borderId="6" xfId="19" applyNumberFormat="1" applyBorder="1" applyAlignment="1">
      <alignment vertical="center"/>
    </xf>
    <xf numFmtId="172" fontId="0" fillId="0" borderId="0" xfId="19" applyNumberFormat="1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85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7</xdr:row>
      <xdr:rowOff>123825</xdr:rowOff>
    </xdr:from>
    <xdr:to>
      <xdr:col>5</xdr:col>
      <xdr:colOff>314325</xdr:colOff>
      <xdr:row>10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695700" y="2295525"/>
          <a:ext cx="628650" cy="4762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21</xdr:row>
      <xdr:rowOff>133350</xdr:rowOff>
    </xdr:from>
    <xdr:to>
      <xdr:col>5</xdr:col>
      <xdr:colOff>276225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657600" y="5067300"/>
          <a:ext cx="628650" cy="4762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34</xdr:row>
      <xdr:rowOff>133350</xdr:rowOff>
    </xdr:from>
    <xdr:to>
      <xdr:col>5</xdr:col>
      <xdr:colOff>238125</xdr:colOff>
      <xdr:row>37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619500" y="7658100"/>
          <a:ext cx="628650" cy="4762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8</xdr:row>
      <xdr:rowOff>0</xdr:rowOff>
    </xdr:from>
    <xdr:to>
      <xdr:col>9</xdr:col>
      <xdr:colOff>133350</xdr:colOff>
      <xdr:row>10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191375" y="2333625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22</xdr:row>
      <xdr:rowOff>9525</xdr:rowOff>
    </xdr:from>
    <xdr:to>
      <xdr:col>9</xdr:col>
      <xdr:colOff>123825</xdr:colOff>
      <xdr:row>24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181850" y="510540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34</xdr:row>
      <xdr:rowOff>152400</xdr:rowOff>
    </xdr:from>
    <xdr:to>
      <xdr:col>9</xdr:col>
      <xdr:colOff>142875</xdr:colOff>
      <xdr:row>36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7200900" y="767715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10</xdr:row>
      <xdr:rowOff>123825</xdr:rowOff>
    </xdr:from>
    <xdr:to>
      <xdr:col>5</xdr:col>
      <xdr:colOff>314325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362450" y="3181350"/>
          <a:ext cx="628650" cy="4762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133350</xdr:rowOff>
    </xdr:from>
    <xdr:to>
      <xdr:col>5</xdr:col>
      <xdr:colOff>276225</xdr:colOff>
      <xdr:row>27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324350" y="6276975"/>
          <a:ext cx="628650" cy="4762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37</xdr:row>
      <xdr:rowOff>133350</xdr:rowOff>
    </xdr:from>
    <xdr:to>
      <xdr:col>5</xdr:col>
      <xdr:colOff>238125</xdr:colOff>
      <xdr:row>40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286250" y="9191625"/>
          <a:ext cx="628650" cy="4762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11</xdr:row>
      <xdr:rowOff>0</xdr:rowOff>
    </xdr:from>
    <xdr:to>
      <xdr:col>9</xdr:col>
      <xdr:colOff>142875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286750" y="321945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25</xdr:row>
      <xdr:rowOff>9525</xdr:rowOff>
    </xdr:from>
    <xdr:to>
      <xdr:col>9</xdr:col>
      <xdr:colOff>133350</xdr:colOff>
      <xdr:row>27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8277225" y="6315075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38</xdr:row>
      <xdr:rowOff>9525</xdr:rowOff>
    </xdr:from>
    <xdr:to>
      <xdr:col>9</xdr:col>
      <xdr:colOff>142875</xdr:colOff>
      <xdr:row>40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8286750" y="9229725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11</xdr:row>
      <xdr:rowOff>123825</xdr:rowOff>
    </xdr:from>
    <xdr:to>
      <xdr:col>5</xdr:col>
      <xdr:colOff>314325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333875" y="3343275"/>
          <a:ext cx="628650" cy="4762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25</xdr:row>
      <xdr:rowOff>133350</xdr:rowOff>
    </xdr:from>
    <xdr:to>
      <xdr:col>5</xdr:col>
      <xdr:colOff>276225</xdr:colOff>
      <xdr:row>28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295775" y="6438900"/>
          <a:ext cx="628650" cy="4762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38</xdr:row>
      <xdr:rowOff>133350</xdr:rowOff>
    </xdr:from>
    <xdr:to>
      <xdr:col>5</xdr:col>
      <xdr:colOff>238125</xdr:colOff>
      <xdr:row>41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257675" y="9353550"/>
          <a:ext cx="628650" cy="4762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11</xdr:row>
      <xdr:rowOff>152400</xdr:rowOff>
    </xdr:from>
    <xdr:to>
      <xdr:col>9</xdr:col>
      <xdr:colOff>142875</xdr:colOff>
      <xdr:row>13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8258175" y="337185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26</xdr:row>
      <xdr:rowOff>9525</xdr:rowOff>
    </xdr:from>
    <xdr:to>
      <xdr:col>9</xdr:col>
      <xdr:colOff>133350</xdr:colOff>
      <xdr:row>28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8248650" y="647700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39</xdr:row>
      <xdr:rowOff>0</xdr:rowOff>
    </xdr:from>
    <xdr:to>
      <xdr:col>9</xdr:col>
      <xdr:colOff>133350</xdr:colOff>
      <xdr:row>41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248650" y="9382125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11</xdr:row>
      <xdr:rowOff>0</xdr:rowOff>
    </xdr:from>
    <xdr:to>
      <xdr:col>8</xdr:col>
      <xdr:colOff>123825</xdr:colOff>
      <xdr:row>13</xdr:row>
      <xdr:rowOff>0</xdr:rowOff>
    </xdr:to>
    <xdr:sp>
      <xdr:nvSpPr>
        <xdr:cNvPr id="1" name="AutoShape 4"/>
        <xdr:cNvSpPr>
          <a:spLocks/>
        </xdr:cNvSpPr>
      </xdr:nvSpPr>
      <xdr:spPr>
        <a:xfrm>
          <a:off x="5934075" y="2638425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25</xdr:row>
      <xdr:rowOff>9525</xdr:rowOff>
    </xdr:from>
    <xdr:to>
      <xdr:col>8</xdr:col>
      <xdr:colOff>95250</xdr:colOff>
      <xdr:row>27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5905500" y="5724525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38</xdr:row>
      <xdr:rowOff>0</xdr:rowOff>
    </xdr:from>
    <xdr:to>
      <xdr:col>8</xdr:col>
      <xdr:colOff>123825</xdr:colOff>
      <xdr:row>40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934075" y="862965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257175</xdr:colOff>
      <xdr:row>13</xdr:row>
      <xdr:rowOff>0</xdr:rowOff>
    </xdr:to>
    <xdr:sp>
      <xdr:nvSpPr>
        <xdr:cNvPr id="4" name="AutoShape 7"/>
        <xdr:cNvSpPr>
          <a:spLocks/>
        </xdr:cNvSpPr>
      </xdr:nvSpPr>
      <xdr:spPr>
        <a:xfrm>
          <a:off x="3267075" y="2638425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257175</xdr:colOff>
      <xdr:row>27</xdr:row>
      <xdr:rowOff>0</xdr:rowOff>
    </xdr:to>
    <xdr:sp>
      <xdr:nvSpPr>
        <xdr:cNvPr id="5" name="AutoShape 8"/>
        <xdr:cNvSpPr>
          <a:spLocks/>
        </xdr:cNvSpPr>
      </xdr:nvSpPr>
      <xdr:spPr>
        <a:xfrm>
          <a:off x="3267075" y="571500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257175</xdr:colOff>
      <xdr:row>40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267075" y="862965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590550</xdr:colOff>
      <xdr:row>11</xdr:row>
      <xdr:rowOff>0</xdr:rowOff>
    </xdr:from>
    <xdr:to>
      <xdr:col>19</xdr:col>
      <xdr:colOff>123825</xdr:colOff>
      <xdr:row>13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14087475" y="2638425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11</xdr:row>
      <xdr:rowOff>0</xdr:rowOff>
    </xdr:from>
    <xdr:to>
      <xdr:col>24</xdr:col>
      <xdr:colOff>257175</xdr:colOff>
      <xdr:row>13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16506825" y="2638425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590550</xdr:colOff>
      <xdr:row>25</xdr:row>
      <xdr:rowOff>0</xdr:rowOff>
    </xdr:from>
    <xdr:to>
      <xdr:col>19</xdr:col>
      <xdr:colOff>123825</xdr:colOff>
      <xdr:row>27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14087475" y="571500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25</xdr:row>
      <xdr:rowOff>0</xdr:rowOff>
    </xdr:from>
    <xdr:to>
      <xdr:col>24</xdr:col>
      <xdr:colOff>257175</xdr:colOff>
      <xdr:row>27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16506825" y="571500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590550</xdr:colOff>
      <xdr:row>38</xdr:row>
      <xdr:rowOff>0</xdr:rowOff>
    </xdr:from>
    <xdr:to>
      <xdr:col>19</xdr:col>
      <xdr:colOff>123825</xdr:colOff>
      <xdr:row>40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14087475" y="862965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38</xdr:row>
      <xdr:rowOff>0</xdr:rowOff>
    </xdr:from>
    <xdr:to>
      <xdr:col>24</xdr:col>
      <xdr:colOff>257175</xdr:colOff>
      <xdr:row>40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16506825" y="8629650"/>
          <a:ext cx="2476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48</xdr:row>
      <xdr:rowOff>28575</xdr:rowOff>
    </xdr:from>
    <xdr:to>
      <xdr:col>7</xdr:col>
      <xdr:colOff>542925</xdr:colOff>
      <xdr:row>50</xdr:row>
      <xdr:rowOff>38100</xdr:rowOff>
    </xdr:to>
    <xdr:sp>
      <xdr:nvSpPr>
        <xdr:cNvPr id="13" name="AutoShape 16"/>
        <xdr:cNvSpPr>
          <a:spLocks/>
        </xdr:cNvSpPr>
      </xdr:nvSpPr>
      <xdr:spPr>
        <a:xfrm>
          <a:off x="5848350" y="10086975"/>
          <a:ext cx="381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48</xdr:row>
      <xdr:rowOff>19050</xdr:rowOff>
    </xdr:from>
    <xdr:to>
      <xdr:col>24</xdr:col>
      <xdr:colOff>152400</xdr:colOff>
      <xdr:row>50</xdr:row>
      <xdr:rowOff>38100</xdr:rowOff>
    </xdr:to>
    <xdr:sp>
      <xdr:nvSpPr>
        <xdr:cNvPr id="14" name="AutoShape 19"/>
        <xdr:cNvSpPr>
          <a:spLocks/>
        </xdr:cNvSpPr>
      </xdr:nvSpPr>
      <xdr:spPr>
        <a:xfrm>
          <a:off x="16592550" y="10086975"/>
          <a:ext cx="5715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45"/>
  <sheetViews>
    <sheetView tabSelected="1" view="pageBreakPreview" zoomScale="60" zoomScaleNormal="90" workbookViewId="0" topLeftCell="A7">
      <selection activeCell="G51" sqref="G51"/>
    </sheetView>
  </sheetViews>
  <sheetFormatPr defaultColWidth="9.140625" defaultRowHeight="12.75" outlineLevelCol="1"/>
  <cols>
    <col min="1" max="1" width="18.8515625" style="0" bestFit="1" customWidth="1"/>
    <col min="2" max="4" width="10.7109375" style="0" customWidth="1"/>
    <col min="7" max="7" width="18.8515625" style="0" customWidth="1"/>
    <col min="8" max="10" width="10.7109375" style="0" customWidth="1"/>
    <col min="11" max="11" width="10.8515625" style="0" customWidth="1"/>
    <col min="13" max="19" width="9.140625" style="0" hidden="1" customWidth="1" outlineLevel="1"/>
    <col min="20" max="20" width="27.57421875" style="0" hidden="1" customWidth="1" outlineLevel="1"/>
    <col min="21" max="23" width="9.140625" style="0" hidden="1" customWidth="1" outlineLevel="1"/>
    <col min="24" max="26" width="0" style="0" hidden="1" customWidth="1" outlineLevel="1"/>
    <col min="27" max="27" width="9.140625" style="0" customWidth="1" collapsed="1"/>
  </cols>
  <sheetData>
    <row r="1" spans="1:11" ht="12.7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56.25" customHeight="1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4" spans="1:11" ht="26.25" customHeight="1">
      <c r="A4" s="66" t="s">
        <v>43</v>
      </c>
      <c r="B4" s="63"/>
      <c r="C4" s="63"/>
      <c r="D4" s="63"/>
      <c r="E4" s="63"/>
      <c r="F4" s="5"/>
      <c r="G4" s="61" t="s">
        <v>44</v>
      </c>
      <c r="H4" s="61"/>
      <c r="I4" s="61"/>
      <c r="J4" s="61"/>
      <c r="K4" s="62"/>
    </row>
    <row r="5" spans="1:11" ht="12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s="3" customFormat="1" ht="37.5" customHeight="1">
      <c r="A6" s="11" t="s">
        <v>0</v>
      </c>
      <c r="B6" s="51" t="s">
        <v>1</v>
      </c>
      <c r="C6" s="51" t="s">
        <v>2</v>
      </c>
      <c r="D6" s="51" t="s">
        <v>3</v>
      </c>
      <c r="E6" s="12"/>
      <c r="F6" s="12"/>
      <c r="G6" s="13" t="s">
        <v>0</v>
      </c>
      <c r="H6" s="51" t="s">
        <v>1</v>
      </c>
      <c r="I6" s="51" t="s">
        <v>2</v>
      </c>
      <c r="J6" s="51" t="s">
        <v>3</v>
      </c>
      <c r="K6" s="14"/>
    </row>
    <row r="7" spans="1:15" ht="12.75">
      <c r="A7" s="8"/>
      <c r="B7" s="53"/>
      <c r="C7" s="53"/>
      <c r="D7" s="53"/>
      <c r="E7" s="9"/>
      <c r="F7" s="9"/>
      <c r="G7" s="9"/>
      <c r="H7" s="53"/>
      <c r="I7" s="53"/>
      <c r="J7" s="53"/>
      <c r="K7" s="10"/>
      <c r="O7" s="26" t="s">
        <v>8</v>
      </c>
    </row>
    <row r="8" spans="1:13" ht="12.75">
      <c r="A8" s="8" t="s">
        <v>14</v>
      </c>
      <c r="B8" s="54">
        <v>7500</v>
      </c>
      <c r="C8" s="55">
        <f>B8/B$13</f>
        <v>0.75</v>
      </c>
      <c r="D8" s="55">
        <f>(B8+B12)/(B13-B11)</f>
        <v>0.825</v>
      </c>
      <c r="E8" s="9"/>
      <c r="F8" s="9"/>
      <c r="G8" s="9" t="s">
        <v>14</v>
      </c>
      <c r="H8" s="54">
        <v>7500</v>
      </c>
      <c r="I8" s="55">
        <f>H8/H$13</f>
        <v>0.75</v>
      </c>
      <c r="J8" s="55">
        <f>(H8+H12)/(H13-H11)</f>
        <v>0.75</v>
      </c>
      <c r="K8" s="10"/>
      <c r="M8" s="28"/>
    </row>
    <row r="9" spans="1:24" ht="12.75">
      <c r="A9" s="8" t="s">
        <v>18</v>
      </c>
      <c r="B9" s="56">
        <f>1050+350+350</f>
        <v>1750</v>
      </c>
      <c r="C9" s="55">
        <f>B9/B$13</f>
        <v>0.175</v>
      </c>
      <c r="D9" s="55">
        <f>(B9+B10)/(B13-B11)</f>
        <v>0.175</v>
      </c>
      <c r="E9" s="9"/>
      <c r="F9" s="9"/>
      <c r="G9" s="9" t="s">
        <v>18</v>
      </c>
      <c r="H9" s="56">
        <f>1050+350+350</f>
        <v>1750</v>
      </c>
      <c r="I9" s="55">
        <f>H9/H$13</f>
        <v>0.175</v>
      </c>
      <c r="J9" s="72">
        <f>(H9+H10)/(H13-H11)</f>
        <v>0.25</v>
      </c>
      <c r="K9" s="10"/>
      <c r="O9" s="27" t="s">
        <v>12</v>
      </c>
      <c r="P9" s="67" t="s">
        <v>20</v>
      </c>
      <c r="Q9" s="67"/>
      <c r="R9" s="67"/>
      <c r="S9" s="67"/>
      <c r="T9" s="67"/>
      <c r="U9" s="68" t="s">
        <v>9</v>
      </c>
      <c r="V9" s="69"/>
      <c r="W9" s="69"/>
      <c r="X9" s="69"/>
    </row>
    <row r="10" spans="1:24" ht="12.75">
      <c r="A10" s="8" t="s">
        <v>4</v>
      </c>
      <c r="B10" s="56">
        <v>0</v>
      </c>
      <c r="C10" s="55">
        <f>B10/B$13</f>
        <v>0</v>
      </c>
      <c r="D10" s="55"/>
      <c r="E10" s="9"/>
      <c r="F10" s="9"/>
      <c r="G10" s="9" t="s">
        <v>4</v>
      </c>
      <c r="H10" s="56">
        <f>B12</f>
        <v>750</v>
      </c>
      <c r="I10" s="55">
        <f>H10/H$13</f>
        <v>0.075</v>
      </c>
      <c r="J10" s="72"/>
      <c r="K10" s="10"/>
      <c r="P10" s="70" t="s">
        <v>10</v>
      </c>
      <c r="Q10" s="70"/>
      <c r="R10" s="70"/>
      <c r="S10" s="70"/>
      <c r="T10" s="70"/>
      <c r="U10" s="69"/>
      <c r="V10" s="69"/>
      <c r="W10" s="69"/>
      <c r="X10" s="69"/>
    </row>
    <row r="11" spans="1:11" ht="12.75">
      <c r="A11" s="8" t="s">
        <v>16</v>
      </c>
      <c r="B11" s="56">
        <v>0</v>
      </c>
      <c r="C11" s="55">
        <f>B11/B$13</f>
        <v>0</v>
      </c>
      <c r="D11" s="55"/>
      <c r="E11" s="9"/>
      <c r="F11" s="9"/>
      <c r="G11" s="9" t="s">
        <v>16</v>
      </c>
      <c r="H11" s="56">
        <v>0</v>
      </c>
      <c r="I11" s="55">
        <f>H11/H$13</f>
        <v>0</v>
      </c>
      <c r="J11" s="55"/>
      <c r="K11" s="10"/>
    </row>
    <row r="12" spans="1:11" ht="12.75">
      <c r="A12" s="8" t="s">
        <v>17</v>
      </c>
      <c r="B12" s="57">
        <v>750</v>
      </c>
      <c r="C12" s="58">
        <f>B12/B$13</f>
        <v>0.075</v>
      </c>
      <c r="D12" s="58"/>
      <c r="E12" s="9"/>
      <c r="F12" s="9"/>
      <c r="G12" s="9" t="s">
        <v>17</v>
      </c>
      <c r="H12" s="57">
        <v>0</v>
      </c>
      <c r="I12" s="58">
        <f>H12/H$13</f>
        <v>0</v>
      </c>
      <c r="J12" s="58"/>
      <c r="K12" s="10"/>
    </row>
    <row r="13" spans="1:24" ht="12.75">
      <c r="A13" s="8"/>
      <c r="B13" s="56">
        <f>SUM(B8:B12)</f>
        <v>10000</v>
      </c>
      <c r="C13" s="55">
        <f>SUM(C8:C12)</f>
        <v>1</v>
      </c>
      <c r="D13" s="55">
        <f>SUM(D8:D12)</f>
        <v>1</v>
      </c>
      <c r="E13" s="9"/>
      <c r="F13" s="9"/>
      <c r="G13" s="9"/>
      <c r="H13" s="56">
        <f>SUM(H8:H12)</f>
        <v>10000</v>
      </c>
      <c r="I13" s="55">
        <f>SUM(I8:I12)</f>
        <v>1</v>
      </c>
      <c r="J13" s="55">
        <f>SUM(J8:J12)</f>
        <v>1</v>
      </c>
      <c r="K13" s="10"/>
      <c r="O13" s="27" t="s">
        <v>13</v>
      </c>
      <c r="P13" s="67" t="s">
        <v>11</v>
      </c>
      <c r="Q13" s="67"/>
      <c r="R13" s="67"/>
      <c r="S13" s="67"/>
      <c r="T13" s="67"/>
      <c r="U13" s="68" t="s">
        <v>9</v>
      </c>
      <c r="V13" s="71"/>
      <c r="W13" s="71"/>
      <c r="X13" s="71"/>
    </row>
    <row r="14" spans="1:24" ht="12.75">
      <c r="A14" s="8"/>
      <c r="B14" s="16"/>
      <c r="C14" s="15"/>
      <c r="D14" s="9"/>
      <c r="E14" s="9"/>
      <c r="F14" s="9"/>
      <c r="G14" s="9"/>
      <c r="H14" s="9"/>
      <c r="I14" s="9"/>
      <c r="J14" s="9"/>
      <c r="K14" s="10"/>
      <c r="P14" s="70" t="s">
        <v>10</v>
      </c>
      <c r="Q14" s="70"/>
      <c r="R14" s="70"/>
      <c r="S14" s="70"/>
      <c r="T14" s="70"/>
      <c r="U14" s="71"/>
      <c r="V14" s="71"/>
      <c r="W14" s="71"/>
      <c r="X14" s="71"/>
    </row>
    <row r="15" spans="1:11" ht="12.75">
      <c r="A15" s="8"/>
      <c r="B15" s="16"/>
      <c r="C15" s="15"/>
      <c r="D15" s="9"/>
      <c r="E15" s="9"/>
      <c r="F15" s="9"/>
      <c r="G15" s="9"/>
      <c r="H15" s="9"/>
      <c r="I15" s="9"/>
      <c r="J15" s="9"/>
      <c r="K15" s="10"/>
    </row>
    <row r="16" spans="1:11" ht="12.75">
      <c r="A16" s="17"/>
      <c r="B16" s="1"/>
      <c r="C16" s="2"/>
      <c r="D16" s="18"/>
      <c r="E16" s="18"/>
      <c r="F16" s="18"/>
      <c r="G16" s="18"/>
      <c r="H16" s="18"/>
      <c r="I16" s="18"/>
      <c r="J16" s="18"/>
      <c r="K16" s="19"/>
    </row>
    <row r="18" spans="1:11" ht="26.25" customHeight="1">
      <c r="A18" s="66" t="s">
        <v>45</v>
      </c>
      <c r="B18" s="63"/>
      <c r="C18" s="63"/>
      <c r="D18" s="63"/>
      <c r="E18" s="63"/>
      <c r="F18" s="5"/>
      <c r="G18" s="61" t="s">
        <v>46</v>
      </c>
      <c r="H18" s="61"/>
      <c r="I18" s="61"/>
      <c r="J18" s="61"/>
      <c r="K18" s="62"/>
    </row>
    <row r="19" spans="1:11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38.25">
      <c r="A20" s="11" t="s">
        <v>0</v>
      </c>
      <c r="B20" s="51" t="s">
        <v>1</v>
      </c>
      <c r="C20" s="51" t="s">
        <v>2</v>
      </c>
      <c r="D20" s="51" t="s">
        <v>3</v>
      </c>
      <c r="E20" s="9"/>
      <c r="F20" s="9"/>
      <c r="G20" s="13" t="s">
        <v>0</v>
      </c>
      <c r="H20" s="51" t="s">
        <v>1</v>
      </c>
      <c r="I20" s="51" t="s">
        <v>2</v>
      </c>
      <c r="J20" s="51" t="s">
        <v>3</v>
      </c>
      <c r="K20" s="10"/>
    </row>
    <row r="21" spans="1:11" ht="12.75">
      <c r="A21" s="8"/>
      <c r="B21" s="53"/>
      <c r="C21" s="53"/>
      <c r="D21" s="53"/>
      <c r="E21" s="9"/>
      <c r="F21" s="9"/>
      <c r="G21" s="9"/>
      <c r="H21" s="53"/>
      <c r="I21" s="53"/>
      <c r="J21" s="53"/>
      <c r="K21" s="10"/>
    </row>
    <row r="22" spans="1:13" ht="12.75">
      <c r="A22" s="8" t="s">
        <v>14</v>
      </c>
      <c r="B22" s="54">
        <f>B8+(B13*15%)</f>
        <v>9000</v>
      </c>
      <c r="C22" s="55">
        <f>B22/B$27</f>
        <v>0.9</v>
      </c>
      <c r="D22" s="55">
        <f>(B22+B26)/(B27-B25)</f>
        <v>1</v>
      </c>
      <c r="E22" s="9"/>
      <c r="F22" s="9"/>
      <c r="G22" s="9" t="s">
        <v>14</v>
      </c>
      <c r="H22" s="54">
        <f>H8+(H13*15%)</f>
        <v>9000</v>
      </c>
      <c r="I22" s="55">
        <f>H22/H$27</f>
        <v>0.9</v>
      </c>
      <c r="J22" s="55">
        <f>(H22+H26)/(H27-H25)</f>
        <v>0.9538461538461539</v>
      </c>
      <c r="K22" s="10"/>
      <c r="M22" s="28"/>
    </row>
    <row r="23" spans="1:11" ht="12.75">
      <c r="A23" s="8" t="s">
        <v>18</v>
      </c>
      <c r="B23" s="56">
        <v>0</v>
      </c>
      <c r="C23" s="55">
        <f>B23/B$27</f>
        <v>0</v>
      </c>
      <c r="D23" s="55">
        <f>(B23+B24)/(B27-B25)</f>
        <v>0</v>
      </c>
      <c r="E23" s="9"/>
      <c r="F23" s="9"/>
      <c r="G23" s="9" t="s">
        <v>18</v>
      </c>
      <c r="H23" s="56">
        <v>0</v>
      </c>
      <c r="I23" s="55">
        <f>H23/H$27</f>
        <v>0</v>
      </c>
      <c r="J23" s="72">
        <f>(H23+H24)/(H27-H25)</f>
        <v>0.046153846153846156</v>
      </c>
      <c r="K23" s="10"/>
    </row>
    <row r="24" spans="1:11" ht="12.75">
      <c r="A24" s="8" t="s">
        <v>4</v>
      </c>
      <c r="B24" s="56">
        <v>0</v>
      </c>
      <c r="C24" s="55">
        <f>B24/B$27</f>
        <v>0</v>
      </c>
      <c r="D24" s="55"/>
      <c r="E24" s="9"/>
      <c r="F24" s="9"/>
      <c r="G24" s="9" t="s">
        <v>4</v>
      </c>
      <c r="H24" s="56">
        <v>450</v>
      </c>
      <c r="I24" s="55">
        <f>H24/H$27</f>
        <v>0.045</v>
      </c>
      <c r="J24" s="72"/>
      <c r="K24" s="10"/>
    </row>
    <row r="25" spans="1:11" ht="12.75">
      <c r="A25" s="8" t="s">
        <v>16</v>
      </c>
      <c r="B25" s="56">
        <f>B13*2.5%</f>
        <v>250</v>
      </c>
      <c r="C25" s="55">
        <f>B25/B$27</f>
        <v>0.025</v>
      </c>
      <c r="D25" s="55"/>
      <c r="E25" s="9"/>
      <c r="F25" s="9"/>
      <c r="G25" s="9" t="s">
        <v>16</v>
      </c>
      <c r="H25" s="56">
        <f>H13*2.5%</f>
        <v>250</v>
      </c>
      <c r="I25" s="55">
        <f>H25/H$27</f>
        <v>0.025</v>
      </c>
      <c r="J25" s="55"/>
      <c r="K25" s="10"/>
    </row>
    <row r="26" spans="1:11" ht="12.75">
      <c r="A26" s="8" t="s">
        <v>17</v>
      </c>
      <c r="B26" s="57">
        <v>750</v>
      </c>
      <c r="C26" s="58">
        <f>B26/B$27</f>
        <v>0.075</v>
      </c>
      <c r="D26" s="58"/>
      <c r="E26" s="9"/>
      <c r="F26" s="9"/>
      <c r="G26" s="9" t="s">
        <v>17</v>
      </c>
      <c r="H26" s="57">
        <v>300</v>
      </c>
      <c r="I26" s="58">
        <f>H26/H$27</f>
        <v>0.03</v>
      </c>
      <c r="J26" s="58"/>
      <c r="K26" s="10"/>
    </row>
    <row r="27" spans="1:11" ht="12.75">
      <c r="A27" s="8"/>
      <c r="B27" s="56">
        <f>SUM(B22:B26)</f>
        <v>10000</v>
      </c>
      <c r="C27" s="55">
        <f>SUM(C22:C26)</f>
        <v>1</v>
      </c>
      <c r="D27" s="55">
        <f>SUM(D22:D26)</f>
        <v>1</v>
      </c>
      <c r="E27" s="9"/>
      <c r="F27" s="9"/>
      <c r="G27" s="9"/>
      <c r="H27" s="56">
        <f>SUM(H22:H26)</f>
        <v>10000</v>
      </c>
      <c r="I27" s="55">
        <f>SUM(I22:I26)</f>
        <v>1</v>
      </c>
      <c r="J27" s="55">
        <f>SUM(J22:J26)</f>
        <v>1</v>
      </c>
      <c r="K27" s="10"/>
    </row>
    <row r="28" spans="1:11" ht="12.75">
      <c r="A28" s="8"/>
      <c r="B28" s="16"/>
      <c r="C28" s="15"/>
      <c r="D28" s="15"/>
      <c r="E28" s="9"/>
      <c r="F28" s="9"/>
      <c r="G28" s="9"/>
      <c r="H28" s="16"/>
      <c r="I28" s="15"/>
      <c r="J28" s="15"/>
      <c r="K28" s="10"/>
    </row>
    <row r="29" spans="1:11" ht="12.75">
      <c r="A29" s="17"/>
      <c r="B29" s="1"/>
      <c r="C29" s="2"/>
      <c r="D29" s="2"/>
      <c r="E29" s="18"/>
      <c r="F29" s="18"/>
      <c r="G29" s="18"/>
      <c r="H29" s="1"/>
      <c r="I29" s="2"/>
      <c r="J29" s="2"/>
      <c r="K29" s="19"/>
    </row>
    <row r="31" spans="1:11" ht="25.5" customHeight="1">
      <c r="A31" s="66" t="s">
        <v>47</v>
      </c>
      <c r="B31" s="63"/>
      <c r="C31" s="63"/>
      <c r="D31" s="63"/>
      <c r="E31" s="63"/>
      <c r="F31" s="5"/>
      <c r="G31" s="63" t="s">
        <v>48</v>
      </c>
      <c r="H31" s="63"/>
      <c r="I31" s="63"/>
      <c r="J31" s="63"/>
      <c r="K31" s="64"/>
    </row>
    <row r="32" spans="1:11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1" ht="38.25">
      <c r="A33" s="11" t="s">
        <v>0</v>
      </c>
      <c r="B33" s="51" t="s">
        <v>1</v>
      </c>
      <c r="C33" s="51" t="s">
        <v>2</v>
      </c>
      <c r="D33" s="51" t="s">
        <v>3</v>
      </c>
      <c r="E33" s="9"/>
      <c r="F33" s="9"/>
      <c r="G33" s="13" t="s">
        <v>0</v>
      </c>
      <c r="H33" s="51" t="s">
        <v>1</v>
      </c>
      <c r="I33" s="51" t="s">
        <v>2</v>
      </c>
      <c r="J33" s="51" t="s">
        <v>3</v>
      </c>
      <c r="K33" s="10"/>
    </row>
    <row r="34" spans="1:11" ht="12.75">
      <c r="A34" s="8"/>
      <c r="B34" s="53"/>
      <c r="C34" s="53"/>
      <c r="D34" s="53"/>
      <c r="E34" s="9"/>
      <c r="F34" s="9"/>
      <c r="G34" s="9"/>
      <c r="H34" s="53"/>
      <c r="I34" s="53"/>
      <c r="J34" s="53"/>
      <c r="K34" s="10"/>
    </row>
    <row r="35" spans="1:13" ht="12.75">
      <c r="A35" s="8" t="s">
        <v>14</v>
      </c>
      <c r="B35" s="54">
        <f>B13-SUM(B36:B39)</f>
        <v>8100</v>
      </c>
      <c r="C35" s="55">
        <f>B35/B$40</f>
        <v>0.81</v>
      </c>
      <c r="D35" s="55">
        <f>(B35+B39)/(B40-B38)</f>
        <v>0.8939393939393939</v>
      </c>
      <c r="E35" s="9"/>
      <c r="F35" s="9"/>
      <c r="G35" s="9" t="s">
        <v>14</v>
      </c>
      <c r="H35" s="54">
        <f>H13-SUM(H36:H39)</f>
        <v>8100</v>
      </c>
      <c r="I35" s="55">
        <f>H35/H$40</f>
        <v>0.81</v>
      </c>
      <c r="J35" s="55">
        <f>(H35+H39)/(H40-H38)</f>
        <v>0.8181818181818182</v>
      </c>
      <c r="K35" s="10"/>
      <c r="M35" s="28"/>
    </row>
    <row r="36" spans="1:11" ht="12.75">
      <c r="A36" s="8" t="s">
        <v>15</v>
      </c>
      <c r="B36" s="56">
        <f>B9*0.6</f>
        <v>1050</v>
      </c>
      <c r="C36" s="55">
        <f>B36/B$40</f>
        <v>0.105</v>
      </c>
      <c r="D36" s="55">
        <f>(B36+B37)/(B40-B38)</f>
        <v>0.10606060606060606</v>
      </c>
      <c r="E36" s="9"/>
      <c r="F36" s="9"/>
      <c r="G36" s="9" t="s">
        <v>18</v>
      </c>
      <c r="H36" s="56">
        <f>H9*0.6</f>
        <v>1050</v>
      </c>
      <c r="I36" s="55">
        <f>H36/H$40</f>
        <v>0.105</v>
      </c>
      <c r="J36" s="72">
        <f>(H36+H37)/(H40-H38)</f>
        <v>0.18181818181818182</v>
      </c>
      <c r="K36" s="10"/>
    </row>
    <row r="37" spans="1:11" ht="12.75">
      <c r="A37" s="8" t="s">
        <v>4</v>
      </c>
      <c r="B37" s="56">
        <v>0</v>
      </c>
      <c r="C37" s="55">
        <f>B37/B$40</f>
        <v>0</v>
      </c>
      <c r="D37" s="55"/>
      <c r="E37" s="9"/>
      <c r="F37" s="9"/>
      <c r="G37" s="9" t="s">
        <v>4</v>
      </c>
      <c r="H37" s="56">
        <f>B39</f>
        <v>750</v>
      </c>
      <c r="I37" s="55">
        <f>H37/H$40</f>
        <v>0.075</v>
      </c>
      <c r="J37" s="72"/>
      <c r="K37" s="10"/>
    </row>
    <row r="38" spans="1:11" ht="12.75">
      <c r="A38" s="8" t="s">
        <v>19</v>
      </c>
      <c r="B38" s="56">
        <f>B25*0.4</f>
        <v>100</v>
      </c>
      <c r="C38" s="55">
        <f>B38/B$40</f>
        <v>0.01</v>
      </c>
      <c r="D38" s="55"/>
      <c r="E38" s="9"/>
      <c r="F38" s="9"/>
      <c r="G38" s="9" t="s">
        <v>16</v>
      </c>
      <c r="H38" s="56">
        <f>H25*0.4</f>
        <v>100</v>
      </c>
      <c r="I38" s="55">
        <f>H38/H$40</f>
        <v>0.01</v>
      </c>
      <c r="J38" s="55"/>
      <c r="K38" s="10"/>
    </row>
    <row r="39" spans="1:11" ht="12.75">
      <c r="A39" s="8" t="s">
        <v>17</v>
      </c>
      <c r="B39" s="57">
        <v>750</v>
      </c>
      <c r="C39" s="58">
        <f>B39/B$40</f>
        <v>0.075</v>
      </c>
      <c r="D39" s="58"/>
      <c r="E39" s="9"/>
      <c r="F39" s="9"/>
      <c r="G39" s="9" t="s">
        <v>17</v>
      </c>
      <c r="H39" s="57">
        <v>0</v>
      </c>
      <c r="I39" s="58">
        <f>H39/H$40</f>
        <v>0</v>
      </c>
      <c r="J39" s="58"/>
      <c r="K39" s="10"/>
    </row>
    <row r="40" spans="1:11" ht="12.75">
      <c r="A40" s="8"/>
      <c r="B40" s="56">
        <f>SUM(B35:B39)</f>
        <v>10000</v>
      </c>
      <c r="C40" s="55">
        <f>SUM(C35:C39)</f>
        <v>1</v>
      </c>
      <c r="D40" s="55">
        <f>SUM(D35:D39)</f>
        <v>1</v>
      </c>
      <c r="E40" s="9"/>
      <c r="F40" s="9"/>
      <c r="G40" s="9"/>
      <c r="H40" s="56">
        <f>SUM(H35:H39)</f>
        <v>10000</v>
      </c>
      <c r="I40" s="55">
        <f>SUM(I35:I39)</f>
        <v>1</v>
      </c>
      <c r="J40" s="55">
        <f>SUM(J35:J39)</f>
        <v>1</v>
      </c>
      <c r="K40" s="10"/>
    </row>
    <row r="41" spans="1:11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</row>
    <row r="42" spans="1:11" ht="12.75">
      <c r="A42" s="8" t="s">
        <v>40</v>
      </c>
      <c r="B42" s="9"/>
      <c r="C42" s="9"/>
      <c r="D42" s="9"/>
      <c r="E42" s="9"/>
      <c r="F42" s="9"/>
      <c r="G42" s="9"/>
      <c r="H42" s="9"/>
      <c r="I42" s="9"/>
      <c r="J42" s="9"/>
      <c r="K42" s="10"/>
    </row>
    <row r="43" spans="1:11" ht="12.75">
      <c r="A43" s="17" t="s">
        <v>41</v>
      </c>
      <c r="B43" s="18"/>
      <c r="C43" s="18"/>
      <c r="D43" s="18"/>
      <c r="E43" s="18"/>
      <c r="F43" s="18"/>
      <c r="G43" s="18"/>
      <c r="H43" s="18"/>
      <c r="I43" s="18"/>
      <c r="J43" s="18"/>
      <c r="K43" s="19"/>
    </row>
    <row r="45" spans="1:11" ht="12.75">
      <c r="A45" s="59" t="s">
        <v>52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</row>
  </sheetData>
  <mergeCells count="16">
    <mergeCell ref="J36:J37"/>
    <mergeCell ref="J9:J10"/>
    <mergeCell ref="J23:J24"/>
    <mergeCell ref="A18:E18"/>
    <mergeCell ref="A31:E31"/>
    <mergeCell ref="P9:T9"/>
    <mergeCell ref="U9:X10"/>
    <mergeCell ref="P10:T10"/>
    <mergeCell ref="P13:T13"/>
    <mergeCell ref="U13:X14"/>
    <mergeCell ref="P14:T14"/>
    <mergeCell ref="G4:K4"/>
    <mergeCell ref="G18:K18"/>
    <mergeCell ref="G31:K31"/>
    <mergeCell ref="A2:K2"/>
    <mergeCell ref="A4:E4"/>
  </mergeCells>
  <printOptions horizontalCentered="1"/>
  <pageMargins left="0.75" right="0.5" top="0.75" bottom="0.75" header="0.5" footer="0.5"/>
  <pageSetup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49"/>
  <sheetViews>
    <sheetView view="pageBreakPreview" zoomScale="60" zoomScaleNormal="90" workbookViewId="0" topLeftCell="A13">
      <selection activeCell="N52" sqref="N52"/>
    </sheetView>
  </sheetViews>
  <sheetFormatPr defaultColWidth="9.140625" defaultRowHeight="12.75" outlineLevelCol="1"/>
  <cols>
    <col min="1" max="1" width="21.57421875" style="0" bestFit="1" customWidth="1"/>
    <col min="2" max="2" width="17.00390625" style="0" bestFit="1" customWidth="1"/>
    <col min="3" max="3" width="10.7109375" style="0" customWidth="1"/>
    <col min="4" max="4" width="11.7109375" style="0" customWidth="1"/>
    <col min="7" max="7" width="18.8515625" style="0" customWidth="1"/>
    <col min="8" max="8" width="17.00390625" style="0" bestFit="1" customWidth="1"/>
    <col min="9" max="9" width="10.7109375" style="0" customWidth="1"/>
    <col min="10" max="10" width="11.7109375" style="0" customWidth="1"/>
    <col min="12" max="12" width="8.8515625" style="0" bestFit="1" customWidth="1"/>
    <col min="13" max="13" width="18.28125" style="0" hidden="1" customWidth="1" outlineLevel="1"/>
    <col min="14" max="14" width="9.140625" style="0" customWidth="1" collapsed="1"/>
  </cols>
  <sheetData>
    <row r="1" spans="1:11" ht="12.75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57" customHeight="1">
      <c r="A2" s="65" t="str">
        <f>Units!A2</f>
        <v>ILLUSTRATIVE EXAMPLE OF THE ACTIVATION OF E UNITS FROM SECTION 5.09 (e) OF THE LIMITED PARTNERSHIP AGREEMENT IN COMBINATION WITH DIFFERENT SCENARIOS REGARDING THE KEEYASK CREE NATION'S ELECTION OF PREFERRED EQUITY OPTION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2" ht="12.75">
      <c r="A3" s="31">
        <v>5000000000</v>
      </c>
      <c r="B3" s="32" t="s">
        <v>38</v>
      </c>
    </row>
    <row r="4" spans="1:2" ht="12.75">
      <c r="A4" s="31">
        <f>A3*0.25</f>
        <v>1250000000</v>
      </c>
      <c r="B4" s="32" t="s">
        <v>5</v>
      </c>
    </row>
    <row r="5" spans="1:11" ht="18">
      <c r="A5" s="74" t="s">
        <v>30</v>
      </c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5.5" customHeight="1">
      <c r="A7" s="66" t="str">
        <f>Units!A4</f>
        <v>OPTION 1 - ALL KCN ELECT COMMON EQUITY OPTION</v>
      </c>
      <c r="B7" s="63"/>
      <c r="C7" s="63"/>
      <c r="D7" s="63"/>
      <c r="E7" s="63"/>
      <c r="F7" s="5"/>
      <c r="G7" s="63" t="str">
        <f>Units!G4</f>
        <v>OPTION 1 - KCN ACTIVATE ALL OF THEIR CLASS E UNITS</v>
      </c>
      <c r="H7" s="63"/>
      <c r="I7" s="63"/>
      <c r="J7" s="63"/>
      <c r="K7" s="64"/>
    </row>
    <row r="8" spans="1:11" ht="12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s="3" customFormat="1" ht="63.75">
      <c r="A9" s="11" t="s">
        <v>0</v>
      </c>
      <c r="B9" s="52"/>
      <c r="C9" s="51" t="s">
        <v>6</v>
      </c>
      <c r="D9" s="51" t="s">
        <v>32</v>
      </c>
      <c r="E9" s="12"/>
      <c r="F9" s="12"/>
      <c r="G9" s="13" t="s">
        <v>0</v>
      </c>
      <c r="H9" s="13"/>
      <c r="I9" s="51" t="s">
        <v>6</v>
      </c>
      <c r="J9" s="51" t="s">
        <v>32</v>
      </c>
      <c r="K9" s="14"/>
    </row>
    <row r="10" spans="1:11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3" ht="12.75">
      <c r="A11" s="8" t="s">
        <v>14</v>
      </c>
      <c r="B11" s="20">
        <f>$A$4*(Units!C8+Units!C12)</f>
        <v>1031250000</v>
      </c>
      <c r="C11" s="55">
        <f>B11/B$16</f>
        <v>0.825</v>
      </c>
      <c r="D11" s="55">
        <f>(B11+B15)/(B16-B14)</f>
        <v>0.825</v>
      </c>
      <c r="E11" s="9"/>
      <c r="F11" s="9"/>
      <c r="G11" s="9" t="s">
        <v>14</v>
      </c>
      <c r="H11" s="20">
        <f>B11-H13</f>
        <v>937500000</v>
      </c>
      <c r="I11" s="55">
        <f>H11/H$16</f>
        <v>0.75</v>
      </c>
      <c r="J11" s="55">
        <f>(H11+H15)/(H16-H14)</f>
        <v>0.75</v>
      </c>
      <c r="K11" s="10"/>
      <c r="M11" s="33">
        <f>Units!J8-'$s @ IC'!J11</f>
        <v>0</v>
      </c>
    </row>
    <row r="12" spans="1:13" ht="12.75">
      <c r="A12" s="8" t="s">
        <v>18</v>
      </c>
      <c r="B12" s="20">
        <f>$A$4*Units!C9</f>
        <v>218750000</v>
      </c>
      <c r="C12" s="55">
        <f>B12/B$16</f>
        <v>0.175</v>
      </c>
      <c r="D12" s="55">
        <f>(B12+B13)/(B16-B14)</f>
        <v>0.175</v>
      </c>
      <c r="E12" s="9"/>
      <c r="F12" s="9"/>
      <c r="G12" s="9" t="s">
        <v>18</v>
      </c>
      <c r="H12" s="20">
        <f>B12</f>
        <v>218750000</v>
      </c>
      <c r="I12" s="55">
        <f>H12/H$16</f>
        <v>0.175</v>
      </c>
      <c r="J12" s="72">
        <f>(H12+H13)/(H16-H14)</f>
        <v>0.25</v>
      </c>
      <c r="K12" s="10"/>
      <c r="M12" s="73">
        <f>Units!J9-'$s @ IC'!J12</f>
        <v>0</v>
      </c>
    </row>
    <row r="13" spans="1:13" ht="12.75">
      <c r="A13" s="8" t="s">
        <v>4</v>
      </c>
      <c r="B13" s="21">
        <f>$A$4*Units!C10</f>
        <v>0</v>
      </c>
      <c r="C13" s="55">
        <f>B13/B$16</f>
        <v>0</v>
      </c>
      <c r="D13" s="55"/>
      <c r="E13" s="9"/>
      <c r="F13" s="9"/>
      <c r="G13" s="9" t="s">
        <v>4</v>
      </c>
      <c r="H13" s="21">
        <f>((B11+B12+B13+B15)/(Units!B8+Units!B9+Units!B10+Units!B12))*Units!H10</f>
        <v>93750000</v>
      </c>
      <c r="I13" s="55">
        <f>H13/H$16</f>
        <v>0.075</v>
      </c>
      <c r="J13" s="72"/>
      <c r="K13" s="10"/>
      <c r="M13" s="73"/>
    </row>
    <row r="14" spans="1:11" ht="12.75">
      <c r="A14" s="8" t="s">
        <v>16</v>
      </c>
      <c r="B14" s="21">
        <f>$A$4*Units!C11</f>
        <v>0</v>
      </c>
      <c r="C14" s="55">
        <f>B14/B$16</f>
        <v>0</v>
      </c>
      <c r="D14" s="55"/>
      <c r="E14" s="9"/>
      <c r="F14" s="9"/>
      <c r="G14" s="9" t="s">
        <v>16</v>
      </c>
      <c r="H14" s="21">
        <f>B14</f>
        <v>0</v>
      </c>
      <c r="I14" s="55">
        <f>H14/H$16</f>
        <v>0</v>
      </c>
      <c r="J14" s="55"/>
      <c r="K14" s="10"/>
    </row>
    <row r="15" spans="1:11" ht="12.75">
      <c r="A15" s="8" t="s">
        <v>17</v>
      </c>
      <c r="B15" s="22">
        <v>0</v>
      </c>
      <c r="C15" s="58">
        <f>B15/B$16</f>
        <v>0</v>
      </c>
      <c r="D15" s="58"/>
      <c r="E15" s="9"/>
      <c r="F15" s="9"/>
      <c r="G15" s="9" t="s">
        <v>17</v>
      </c>
      <c r="H15" s="22">
        <f>B15</f>
        <v>0</v>
      </c>
      <c r="I15" s="58">
        <f>H15/H$16</f>
        <v>0</v>
      </c>
      <c r="J15" s="58"/>
      <c r="K15" s="10"/>
    </row>
    <row r="16" spans="1:11" ht="12.75">
      <c r="A16" s="8"/>
      <c r="B16" s="21">
        <f>SUM(B11:B15)</f>
        <v>1250000000</v>
      </c>
      <c r="C16" s="55">
        <f>SUM(C11:C15)</f>
        <v>1</v>
      </c>
      <c r="D16" s="55">
        <f>SUM(D11:D15)</f>
        <v>1</v>
      </c>
      <c r="E16" s="9"/>
      <c r="F16" s="9"/>
      <c r="G16" s="9"/>
      <c r="H16" s="21">
        <f>SUM(H11:H15)</f>
        <v>1250000000</v>
      </c>
      <c r="I16" s="55">
        <f>SUM(I11:I15)</f>
        <v>1</v>
      </c>
      <c r="J16" s="55">
        <f>SUM(J11:J15)</f>
        <v>1</v>
      </c>
      <c r="K16" s="10"/>
    </row>
    <row r="17" spans="1:11" ht="12.75">
      <c r="A17" s="8"/>
      <c r="B17" s="21"/>
      <c r="C17" s="15"/>
      <c r="D17" s="15"/>
      <c r="E17" s="9"/>
      <c r="F17" s="9"/>
      <c r="G17" s="9"/>
      <c r="H17" s="21"/>
      <c r="I17" s="15"/>
      <c r="J17" s="15"/>
      <c r="K17" s="10"/>
    </row>
    <row r="18" spans="1:11" ht="12.75">
      <c r="A18" s="8"/>
      <c r="B18" s="16"/>
      <c r="C18" s="15"/>
      <c r="D18" s="9"/>
      <c r="E18" s="9"/>
      <c r="F18" s="9"/>
      <c r="G18" s="9"/>
      <c r="H18" s="9"/>
      <c r="I18" s="9"/>
      <c r="J18" s="9"/>
      <c r="K18" s="10"/>
    </row>
    <row r="19" spans="1:11" ht="12.75">
      <c r="A19" s="17"/>
      <c r="B19" s="1"/>
      <c r="C19" s="2"/>
      <c r="D19" s="18"/>
      <c r="E19" s="18"/>
      <c r="F19" s="18"/>
      <c r="G19" s="18"/>
      <c r="H19" s="18"/>
      <c r="I19" s="18"/>
      <c r="J19" s="18"/>
      <c r="K19" s="19"/>
    </row>
    <row r="21" spans="1:11" ht="26.25" customHeight="1">
      <c r="A21" s="66" t="str">
        <f>Units!A18</f>
        <v>OPTION 2 - ALL KCN ELECT PREFERRED EQUITY OPTION</v>
      </c>
      <c r="B21" s="63"/>
      <c r="C21" s="63"/>
      <c r="D21" s="63"/>
      <c r="E21" s="63"/>
      <c r="F21" s="5"/>
      <c r="G21" s="63" t="str">
        <f>Units!G18</f>
        <v>OPTION 2 - KCN ACTIVATE SOME OF THEIR CLASS E UNITS</v>
      </c>
      <c r="H21" s="63"/>
      <c r="I21" s="63"/>
      <c r="J21" s="63"/>
      <c r="K21" s="64"/>
    </row>
    <row r="22" spans="1:11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63.75">
      <c r="A23" s="11" t="s">
        <v>0</v>
      </c>
      <c r="B23" s="13"/>
      <c r="C23" s="51" t="s">
        <v>6</v>
      </c>
      <c r="D23" s="51" t="s">
        <v>32</v>
      </c>
      <c r="E23" s="9"/>
      <c r="F23" s="9"/>
      <c r="G23" s="13" t="s">
        <v>0</v>
      </c>
      <c r="H23" s="13"/>
      <c r="I23" s="51" t="s">
        <v>6</v>
      </c>
      <c r="J23" s="51" t="s">
        <v>32</v>
      </c>
      <c r="K23" s="10"/>
    </row>
    <row r="24" spans="1:11" ht="12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3" ht="12.75">
      <c r="A25" s="8" t="s">
        <v>14</v>
      </c>
      <c r="B25" s="20">
        <f>$A$4*(Units!C22+Units!C26)</f>
        <v>1218750000</v>
      </c>
      <c r="C25" s="55">
        <f>B25/B$30</f>
        <v>0.975</v>
      </c>
      <c r="D25" s="55">
        <f>(B25+B29)/(B30-B28)</f>
        <v>1</v>
      </c>
      <c r="E25" s="9"/>
      <c r="F25" s="9"/>
      <c r="G25" s="9" t="s">
        <v>14</v>
      </c>
      <c r="H25" s="20">
        <f>B25-H27</f>
        <v>1162500000</v>
      </c>
      <c r="I25" s="55">
        <f>H25/H$30</f>
        <v>0.93</v>
      </c>
      <c r="J25" s="55">
        <f>(H25+H29)/(H30-H28)</f>
        <v>0.9538461538461539</v>
      </c>
      <c r="K25" s="10"/>
      <c r="M25" s="33">
        <f>Units!J22-'$s @ IC'!J25</f>
        <v>0</v>
      </c>
    </row>
    <row r="26" spans="1:13" ht="12.75">
      <c r="A26" s="8" t="s">
        <v>18</v>
      </c>
      <c r="B26" s="20">
        <f>$A$4*Units!C23</f>
        <v>0</v>
      </c>
      <c r="C26" s="55">
        <f>B26/B$30</f>
        <v>0</v>
      </c>
      <c r="D26" s="55">
        <f>(B26+B27)/(B30-B28)</f>
        <v>0</v>
      </c>
      <c r="E26" s="9"/>
      <c r="F26" s="9"/>
      <c r="G26" s="9" t="s">
        <v>18</v>
      </c>
      <c r="H26" s="20">
        <f>B26</f>
        <v>0</v>
      </c>
      <c r="I26" s="55">
        <f>H26/H$30</f>
        <v>0</v>
      </c>
      <c r="J26" s="72">
        <f>(H26+H27)/(H30-H28)</f>
        <v>0.046153846153846156</v>
      </c>
      <c r="K26" s="10"/>
      <c r="M26" s="73">
        <f>Units!J23-'$s @ IC'!J26</f>
        <v>0</v>
      </c>
    </row>
    <row r="27" spans="1:13" ht="12.75">
      <c r="A27" s="8" t="s">
        <v>4</v>
      </c>
      <c r="B27" s="21">
        <f>$A$4*Units!C24</f>
        <v>0</v>
      </c>
      <c r="C27" s="55">
        <f>B27/B$30</f>
        <v>0</v>
      </c>
      <c r="D27" s="55"/>
      <c r="E27" s="9"/>
      <c r="F27" s="9"/>
      <c r="G27" s="9" t="s">
        <v>4</v>
      </c>
      <c r="H27" s="21">
        <f>((B25+B26+B27+B29)/(Units!B22+Units!B23+Units!B24+Units!B26))*Units!H24</f>
        <v>56250000</v>
      </c>
      <c r="I27" s="55">
        <f>H27/H$30</f>
        <v>0.045</v>
      </c>
      <c r="J27" s="72"/>
      <c r="K27" s="10"/>
      <c r="M27" s="73"/>
    </row>
    <row r="28" spans="1:11" ht="12.75">
      <c r="A28" s="8" t="s">
        <v>16</v>
      </c>
      <c r="B28" s="21">
        <f>$A$4*Units!C25</f>
        <v>31250000</v>
      </c>
      <c r="C28" s="55">
        <f>B28/B$30</f>
        <v>0.025</v>
      </c>
      <c r="D28" s="55"/>
      <c r="E28" s="9"/>
      <c r="F28" s="9"/>
      <c r="G28" s="9" t="s">
        <v>16</v>
      </c>
      <c r="H28" s="21">
        <f>B28</f>
        <v>31250000</v>
      </c>
      <c r="I28" s="55">
        <f>H28/H$30</f>
        <v>0.025</v>
      </c>
      <c r="J28" s="55"/>
      <c r="K28" s="10"/>
    </row>
    <row r="29" spans="1:11" ht="12.75">
      <c r="A29" s="8" t="s">
        <v>17</v>
      </c>
      <c r="B29" s="22">
        <v>0</v>
      </c>
      <c r="C29" s="58">
        <f>B29/B$30</f>
        <v>0</v>
      </c>
      <c r="D29" s="58"/>
      <c r="E29" s="9"/>
      <c r="F29" s="9"/>
      <c r="G29" s="9" t="s">
        <v>17</v>
      </c>
      <c r="H29" s="22">
        <f>B29</f>
        <v>0</v>
      </c>
      <c r="I29" s="58">
        <f>H29/H$30</f>
        <v>0</v>
      </c>
      <c r="J29" s="58"/>
      <c r="K29" s="10"/>
    </row>
    <row r="30" spans="1:11" ht="12.75">
      <c r="A30" s="8"/>
      <c r="B30" s="21">
        <f>SUM(B25:B29)</f>
        <v>1250000000</v>
      </c>
      <c r="C30" s="55">
        <f>SUM(C25:C29)</f>
        <v>1</v>
      </c>
      <c r="D30" s="55">
        <f>SUM(D25:D29)</f>
        <v>1</v>
      </c>
      <c r="E30" s="9"/>
      <c r="F30" s="9"/>
      <c r="G30" s="9"/>
      <c r="H30" s="21">
        <f>SUM(H25:H29)</f>
        <v>1250000000</v>
      </c>
      <c r="I30" s="55">
        <f>SUM(I25:I29)</f>
        <v>1</v>
      </c>
      <c r="J30" s="55">
        <f>SUM(J25:J29)</f>
        <v>1</v>
      </c>
      <c r="K30" s="10"/>
    </row>
    <row r="31" spans="1:11" ht="12.75">
      <c r="A31" s="8"/>
      <c r="B31" s="16"/>
      <c r="C31" s="15"/>
      <c r="D31" s="15"/>
      <c r="E31" s="9"/>
      <c r="F31" s="9"/>
      <c r="G31" s="9"/>
      <c r="H31" s="16"/>
      <c r="I31" s="15"/>
      <c r="J31" s="15"/>
      <c r="K31" s="10"/>
    </row>
    <row r="32" spans="1:11" ht="12.75">
      <c r="A32" s="17"/>
      <c r="B32" s="1"/>
      <c r="C32" s="2"/>
      <c r="D32" s="2"/>
      <c r="E32" s="18"/>
      <c r="F32" s="18"/>
      <c r="G32" s="18"/>
      <c r="H32" s="1"/>
      <c r="I32" s="2"/>
      <c r="J32" s="2"/>
      <c r="K32" s="19"/>
    </row>
    <row r="34" spans="1:11" ht="25.5" customHeight="1">
      <c r="A34" s="66" t="str">
        <f>Units!A31</f>
        <v>OPTION 3 - CNP ELECT COMMON EQUITY OPTION AND FOX &amp; YORK ELECT PREFERRED EQUITY OPTION</v>
      </c>
      <c r="B34" s="63"/>
      <c r="C34" s="63"/>
      <c r="D34" s="63"/>
      <c r="E34" s="63"/>
      <c r="F34" s="5"/>
      <c r="G34" s="63" t="str">
        <f>Units!G31</f>
        <v>OPTION 3 - KCN ACTIVATE ALL OF THEIR CLASS E UNITS</v>
      </c>
      <c r="H34" s="63"/>
      <c r="I34" s="63"/>
      <c r="J34" s="63"/>
      <c r="K34" s="64"/>
    </row>
    <row r="35" spans="1:11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10"/>
    </row>
    <row r="36" spans="1:11" ht="63.75">
      <c r="A36" s="11" t="s">
        <v>0</v>
      </c>
      <c r="B36" s="13"/>
      <c r="C36" s="51" t="s">
        <v>6</v>
      </c>
      <c r="D36" s="51" t="s">
        <v>32</v>
      </c>
      <c r="E36" s="9"/>
      <c r="F36" s="9"/>
      <c r="G36" s="13" t="s">
        <v>0</v>
      </c>
      <c r="H36" s="13"/>
      <c r="I36" s="51" t="s">
        <v>6</v>
      </c>
      <c r="J36" s="51" t="s">
        <v>32</v>
      </c>
      <c r="K36" s="10"/>
    </row>
    <row r="37" spans="1:11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3" ht="12.75">
      <c r="A38" s="8" t="s">
        <v>14</v>
      </c>
      <c r="B38" s="20">
        <f>$A$4*(Units!C35+Units!C39)</f>
        <v>1106250000</v>
      </c>
      <c r="C38" s="55">
        <f>B38/B$43</f>
        <v>0.885</v>
      </c>
      <c r="D38" s="55">
        <f>(B38+B42)/(B43-B41)</f>
        <v>0.8939393939393939</v>
      </c>
      <c r="E38" s="9"/>
      <c r="F38" s="9"/>
      <c r="G38" s="9" t="s">
        <v>14</v>
      </c>
      <c r="H38" s="20">
        <f>B38-H40</f>
        <v>1012500000</v>
      </c>
      <c r="I38" s="55">
        <f>H38/H$43</f>
        <v>0.81</v>
      </c>
      <c r="J38" s="55">
        <f>(H38+H42)/(H43-H41)</f>
        <v>0.8181818181818182</v>
      </c>
      <c r="K38" s="10"/>
      <c r="L38" s="29"/>
      <c r="M38" s="33">
        <f>Units!J35-'$s @ IC'!J38</f>
        <v>0</v>
      </c>
    </row>
    <row r="39" spans="1:13" ht="12.75">
      <c r="A39" s="8" t="s">
        <v>18</v>
      </c>
      <c r="B39" s="20">
        <f>$A$4*Units!C36</f>
        <v>131250000</v>
      </c>
      <c r="C39" s="55">
        <f>B39/B$43</f>
        <v>0.105</v>
      </c>
      <c r="D39" s="55">
        <f>(B39+B40)/(B43-B41)</f>
        <v>0.10606060606060606</v>
      </c>
      <c r="E39" s="9"/>
      <c r="F39" s="9"/>
      <c r="G39" s="9" t="s">
        <v>18</v>
      </c>
      <c r="H39" s="20">
        <f>B39</f>
        <v>131250000</v>
      </c>
      <c r="I39" s="55">
        <f>H39/H$43</f>
        <v>0.105</v>
      </c>
      <c r="J39" s="72">
        <f>(H39+H40)/(H43-H41)</f>
        <v>0.18181818181818182</v>
      </c>
      <c r="K39" s="10"/>
      <c r="L39" s="29"/>
      <c r="M39" s="73">
        <f>Units!J36-'$s @ IC'!J39</f>
        <v>0</v>
      </c>
    </row>
    <row r="40" spans="1:13" ht="12.75">
      <c r="A40" s="8" t="s">
        <v>4</v>
      </c>
      <c r="B40" s="21">
        <f>$A$4*Units!C37</f>
        <v>0</v>
      </c>
      <c r="C40" s="55">
        <f>B40/B$43</f>
        <v>0</v>
      </c>
      <c r="D40" s="55"/>
      <c r="E40" s="9"/>
      <c r="F40" s="9"/>
      <c r="G40" s="9" t="s">
        <v>4</v>
      </c>
      <c r="H40" s="21">
        <f>((B38+B39+B40+B42)/(Units!B35+Units!B36+Units!B37+Units!B39))*Units!H37</f>
        <v>93750000</v>
      </c>
      <c r="I40" s="55">
        <f>H40/H$43</f>
        <v>0.075</v>
      </c>
      <c r="J40" s="72"/>
      <c r="K40" s="10"/>
      <c r="L40" s="29"/>
      <c r="M40" s="73"/>
    </row>
    <row r="41" spans="1:12" ht="12.75">
      <c r="A41" s="8" t="s">
        <v>16</v>
      </c>
      <c r="B41" s="21">
        <f>$A$4*Units!C38</f>
        <v>12500000</v>
      </c>
      <c r="C41" s="55">
        <f>B41/B$43</f>
        <v>0.01</v>
      </c>
      <c r="D41" s="55"/>
      <c r="E41" s="9"/>
      <c r="F41" s="9"/>
      <c r="G41" s="9" t="s">
        <v>16</v>
      </c>
      <c r="H41" s="21">
        <f>B41</f>
        <v>12500000</v>
      </c>
      <c r="I41" s="55">
        <f>H41/H$43</f>
        <v>0.01</v>
      </c>
      <c r="J41" s="55"/>
      <c r="K41" s="10"/>
      <c r="L41" s="29"/>
    </row>
    <row r="42" spans="1:12" ht="12.75">
      <c r="A42" s="8" t="s">
        <v>17</v>
      </c>
      <c r="B42" s="22">
        <v>0</v>
      </c>
      <c r="C42" s="58">
        <f>B42/B$43</f>
        <v>0</v>
      </c>
      <c r="D42" s="58"/>
      <c r="E42" s="9"/>
      <c r="F42" s="9"/>
      <c r="G42" s="9" t="s">
        <v>17</v>
      </c>
      <c r="H42" s="22">
        <f>B42</f>
        <v>0</v>
      </c>
      <c r="I42" s="58">
        <f>H42/H$43</f>
        <v>0</v>
      </c>
      <c r="J42" s="58"/>
      <c r="K42" s="10"/>
      <c r="L42" s="29"/>
    </row>
    <row r="43" spans="1:11" ht="12.75">
      <c r="A43" s="8"/>
      <c r="B43" s="21">
        <f>SUM(B38:B42)</f>
        <v>1250000000</v>
      </c>
      <c r="C43" s="55">
        <f>SUM(C38:C42)</f>
        <v>1</v>
      </c>
      <c r="D43" s="55">
        <f>SUM(D38:D42)</f>
        <v>1</v>
      </c>
      <c r="E43" s="9"/>
      <c r="F43" s="9"/>
      <c r="G43" s="9"/>
      <c r="H43" s="21">
        <f>SUM(H38:H42)</f>
        <v>1250000000</v>
      </c>
      <c r="I43" s="55">
        <f>SUM(I38:I42)</f>
        <v>1</v>
      </c>
      <c r="J43" s="55">
        <f>SUM(J38:J42)</f>
        <v>1</v>
      </c>
      <c r="K43" s="10"/>
    </row>
    <row r="44" spans="1:11" ht="12.75">
      <c r="A44" s="17"/>
      <c r="B44" s="22"/>
      <c r="C44" s="2"/>
      <c r="D44" s="2"/>
      <c r="E44" s="18"/>
      <c r="F44" s="18"/>
      <c r="G44" s="18"/>
      <c r="H44" s="22"/>
      <c r="I44" s="2"/>
      <c r="J44" s="2"/>
      <c r="K44" s="19"/>
    </row>
    <row r="45" spans="1:1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60" t="s">
        <v>53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2.75">
      <c r="A47" s="9"/>
      <c r="B47" s="9"/>
      <c r="C47" s="9"/>
      <c r="D47" s="9"/>
      <c r="E47" s="9"/>
      <c r="F47" s="9"/>
      <c r="G47" s="9"/>
      <c r="H47" s="16"/>
      <c r="I47" s="9"/>
      <c r="J47" s="9"/>
      <c r="K47" s="9"/>
    </row>
    <row r="48" ht="12.75">
      <c r="H48" s="25"/>
    </row>
    <row r="49" ht="12.75">
      <c r="H49" s="25"/>
    </row>
  </sheetData>
  <mergeCells count="14">
    <mergeCell ref="A2:K2"/>
    <mergeCell ref="J39:J40"/>
    <mergeCell ref="A5:K5"/>
    <mergeCell ref="J12:J13"/>
    <mergeCell ref="G7:K7"/>
    <mergeCell ref="A7:E7"/>
    <mergeCell ref="A21:E21"/>
    <mergeCell ref="A34:E34"/>
    <mergeCell ref="M12:M13"/>
    <mergeCell ref="M26:M27"/>
    <mergeCell ref="M39:M40"/>
    <mergeCell ref="J26:J27"/>
    <mergeCell ref="G21:K21"/>
    <mergeCell ref="G34:K34"/>
  </mergeCells>
  <printOptions horizontalCentered="1"/>
  <pageMargins left="0.75" right="0.5" top="0.75" bottom="0.75" header="0.5" footer="0.5"/>
  <pageSetup fitToHeight="1" fitToWidth="1" horizontalDpi="600" verticalDpi="600" orientation="landscape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48"/>
  <sheetViews>
    <sheetView view="pageBreakPreview" zoomScale="60" zoomScaleNormal="90" workbookViewId="0" topLeftCell="A13">
      <selection activeCell="N52" sqref="N52"/>
    </sheetView>
  </sheetViews>
  <sheetFormatPr defaultColWidth="9.140625" defaultRowHeight="12.75" outlineLevelCol="1"/>
  <cols>
    <col min="1" max="1" width="21.140625" style="0" bestFit="1" customWidth="1"/>
    <col min="2" max="2" width="17.00390625" style="0" bestFit="1" customWidth="1"/>
    <col min="3" max="3" width="10.7109375" style="0" customWidth="1"/>
    <col min="4" max="4" width="11.7109375" style="0" customWidth="1"/>
    <col min="7" max="7" width="18.8515625" style="0" customWidth="1"/>
    <col min="8" max="8" width="17.00390625" style="0" bestFit="1" customWidth="1"/>
    <col min="9" max="9" width="10.7109375" style="0" customWidth="1"/>
    <col min="10" max="10" width="11.7109375" style="0" customWidth="1"/>
    <col min="12" max="12" width="8.8515625" style="0" bestFit="1" customWidth="1"/>
    <col min="13" max="13" width="17.7109375" style="0" hidden="1" customWidth="1" outlineLevel="1"/>
    <col min="14" max="14" width="9.140625" style="0" customWidth="1" collapsed="1"/>
  </cols>
  <sheetData>
    <row r="1" spans="1:11" ht="12.75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57" customHeight="1">
      <c r="A2" s="65" t="str">
        <f>Units!A2</f>
        <v>ILLUSTRATIVE EXAMPLE OF THE ACTIVATION OF E UNITS FROM SECTION 5.09 (e) OF THE LIMITED PARTNERSHIP AGREEMENT IN COMBINATION WITH DIFFERENT SCENARIOS REGARDING THE KEEYASK CREE NATION'S ELECTION OF PREFERRED EQUITY OPTION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4" spans="1:2" ht="12.75">
      <c r="A4" s="31">
        <v>1000000000</v>
      </c>
      <c r="B4" s="32" t="s">
        <v>39</v>
      </c>
    </row>
    <row r="6" spans="1:11" ht="18">
      <c r="A6" s="74" t="s">
        <v>31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11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5.5" customHeight="1">
      <c r="A8" s="66" t="str">
        <f>'$s @ IC'!A7</f>
        <v>OPTION 1 - ALL KCN ELECT COMMON EQUITY OPTION</v>
      </c>
      <c r="B8" s="63"/>
      <c r="C8" s="63"/>
      <c r="D8" s="63"/>
      <c r="E8" s="63"/>
      <c r="F8" s="5"/>
      <c r="G8" s="63" t="str">
        <f>Units!G4</f>
        <v>OPTION 1 - KCN ACTIVATE ALL OF THEIR CLASS E UNITS</v>
      </c>
      <c r="H8" s="63"/>
      <c r="I8" s="63"/>
      <c r="J8" s="63"/>
      <c r="K8" s="64"/>
    </row>
    <row r="9" spans="1:11" ht="12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s="3" customFormat="1" ht="63.75">
      <c r="A10" s="11" t="s">
        <v>0</v>
      </c>
      <c r="B10" s="12"/>
      <c r="C10" s="51" t="s">
        <v>6</v>
      </c>
      <c r="D10" s="51" t="s">
        <v>32</v>
      </c>
      <c r="E10" s="12"/>
      <c r="F10" s="12"/>
      <c r="G10" s="13" t="s">
        <v>0</v>
      </c>
      <c r="H10" s="12"/>
      <c r="I10" s="51" t="s">
        <v>6</v>
      </c>
      <c r="J10" s="51" t="s">
        <v>32</v>
      </c>
      <c r="K10" s="14"/>
    </row>
    <row r="11" spans="1:11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3" ht="12.75">
      <c r="A12" s="8" t="s">
        <v>14</v>
      </c>
      <c r="B12" s="20">
        <f>($A$4-B15)*Units!D8</f>
        <v>825000000</v>
      </c>
      <c r="C12" s="55">
        <f>B12/B$17</f>
        <v>0.825</v>
      </c>
      <c r="D12" s="55">
        <f>(B12+B16)/(B17-B15)</f>
        <v>0.825</v>
      </c>
      <c r="E12" s="9"/>
      <c r="F12" s="9"/>
      <c r="G12" s="9" t="s">
        <v>14</v>
      </c>
      <c r="H12" s="20">
        <f>B12-H14</f>
        <v>750000000</v>
      </c>
      <c r="I12" s="55">
        <f>H12/H$17</f>
        <v>0.75</v>
      </c>
      <c r="J12" s="55">
        <f>(H12+H16)/(H17-H15)</f>
        <v>0.75</v>
      </c>
      <c r="K12" s="10"/>
      <c r="M12" s="33">
        <f>Units!J8-'$s @ IC'!J11</f>
        <v>0</v>
      </c>
    </row>
    <row r="13" spans="1:13" ht="12.75">
      <c r="A13" s="8" t="s">
        <v>18</v>
      </c>
      <c r="B13" s="20">
        <f>($A$4-B15)*Units!D9</f>
        <v>175000000</v>
      </c>
      <c r="C13" s="55">
        <f>B13/B$17</f>
        <v>0.175</v>
      </c>
      <c r="D13" s="55">
        <f>(B13+B14)/(B17-B15)</f>
        <v>0.175</v>
      </c>
      <c r="E13" s="9"/>
      <c r="F13" s="9"/>
      <c r="G13" s="9" t="s">
        <v>18</v>
      </c>
      <c r="H13" s="20">
        <f>B13</f>
        <v>175000000</v>
      </c>
      <c r="I13" s="55">
        <f>H13/H$17</f>
        <v>0.175</v>
      </c>
      <c r="J13" s="72">
        <f>(H13+H14)/(H17-H15)</f>
        <v>0.25</v>
      </c>
      <c r="K13" s="10"/>
      <c r="M13" s="73">
        <f>Units!J9-'$s @ IC'!J12</f>
        <v>0</v>
      </c>
    </row>
    <row r="14" spans="1:13" ht="12.75">
      <c r="A14" s="8" t="s">
        <v>4</v>
      </c>
      <c r="B14" s="20">
        <f>($A$4-B15)*Units!D10</f>
        <v>0</v>
      </c>
      <c r="C14" s="55">
        <f>B14/B$17</f>
        <v>0</v>
      </c>
      <c r="D14" s="55"/>
      <c r="E14" s="9"/>
      <c r="F14" s="9"/>
      <c r="G14" s="9" t="s">
        <v>4</v>
      </c>
      <c r="H14" s="21">
        <f>((B12+B13+B14+B16)/(Units!B8+Units!B9+Units!B10+Units!B12))*Units!H10</f>
        <v>75000000</v>
      </c>
      <c r="I14" s="55">
        <f>H14/H$17</f>
        <v>0.075</v>
      </c>
      <c r="J14" s="72"/>
      <c r="K14" s="10"/>
      <c r="M14" s="73"/>
    </row>
    <row r="15" spans="1:11" ht="12.75">
      <c r="A15" s="8" t="s">
        <v>16</v>
      </c>
      <c r="B15" s="21">
        <f>'$s @ IC'!B14</f>
        <v>0</v>
      </c>
      <c r="C15" s="55">
        <f>B15/B$17</f>
        <v>0</v>
      </c>
      <c r="D15" s="55"/>
      <c r="E15" s="9"/>
      <c r="F15" s="9"/>
      <c r="G15" s="9" t="s">
        <v>16</v>
      </c>
      <c r="H15" s="21">
        <f>B15</f>
        <v>0</v>
      </c>
      <c r="I15" s="55">
        <f>H15/H$17</f>
        <v>0</v>
      </c>
      <c r="J15" s="55"/>
      <c r="K15" s="10"/>
    </row>
    <row r="16" spans="1:11" ht="12.75">
      <c r="A16" s="8" t="s">
        <v>17</v>
      </c>
      <c r="B16" s="22">
        <v>0</v>
      </c>
      <c r="C16" s="58">
        <f>B16/B$17</f>
        <v>0</v>
      </c>
      <c r="D16" s="58"/>
      <c r="E16" s="9"/>
      <c r="F16" s="9"/>
      <c r="G16" s="9" t="s">
        <v>17</v>
      </c>
      <c r="H16" s="22">
        <f>B16</f>
        <v>0</v>
      </c>
      <c r="I16" s="58">
        <f>H16/H$17</f>
        <v>0</v>
      </c>
      <c r="J16" s="58"/>
      <c r="K16" s="10"/>
    </row>
    <row r="17" spans="1:11" ht="12.75">
      <c r="A17" s="8"/>
      <c r="B17" s="21">
        <f>SUM(B12:B16)</f>
        <v>1000000000</v>
      </c>
      <c r="C17" s="55">
        <f>SUM(C12:C16)</f>
        <v>1</v>
      </c>
      <c r="D17" s="55">
        <f>SUM(D12:D16)</f>
        <v>1</v>
      </c>
      <c r="E17" s="9"/>
      <c r="F17" s="9"/>
      <c r="G17" s="9"/>
      <c r="H17" s="21">
        <f>SUM(H12:H16)</f>
        <v>1000000000</v>
      </c>
      <c r="I17" s="55">
        <f>SUM(I12:I16)</f>
        <v>1</v>
      </c>
      <c r="J17" s="55">
        <f>SUM(J12:J16)</f>
        <v>1</v>
      </c>
      <c r="K17" s="10"/>
    </row>
    <row r="18" spans="1:11" ht="12.75">
      <c r="A18" s="8"/>
      <c r="B18" s="21"/>
      <c r="C18" s="15"/>
      <c r="D18" s="15"/>
      <c r="E18" s="9"/>
      <c r="F18" s="9"/>
      <c r="G18" s="9"/>
      <c r="H18" s="21"/>
      <c r="I18" s="15"/>
      <c r="J18" s="15"/>
      <c r="K18" s="10"/>
    </row>
    <row r="19" spans="1:11" ht="12.75">
      <c r="A19" s="8"/>
      <c r="B19" s="16"/>
      <c r="C19" s="15"/>
      <c r="D19" s="9"/>
      <c r="E19" s="9"/>
      <c r="F19" s="9"/>
      <c r="G19" s="9"/>
      <c r="H19" s="9"/>
      <c r="I19" s="9"/>
      <c r="J19" s="9"/>
      <c r="K19" s="10"/>
    </row>
    <row r="20" spans="1:11" ht="12.75">
      <c r="A20" s="17"/>
      <c r="B20" s="1"/>
      <c r="C20" s="2"/>
      <c r="D20" s="18"/>
      <c r="E20" s="18"/>
      <c r="F20" s="18"/>
      <c r="G20" s="18"/>
      <c r="H20" s="18"/>
      <c r="I20" s="18"/>
      <c r="J20" s="18"/>
      <c r="K20" s="19"/>
    </row>
    <row r="22" spans="1:11" ht="26.25" customHeight="1">
      <c r="A22" s="66" t="str">
        <f>'$s @ IC'!A21</f>
        <v>OPTION 2 - ALL KCN ELECT PREFERRED EQUITY OPTION</v>
      </c>
      <c r="B22" s="63"/>
      <c r="C22" s="63"/>
      <c r="D22" s="63"/>
      <c r="E22" s="63"/>
      <c r="F22" s="5"/>
      <c r="G22" s="63" t="str">
        <f>Units!G18</f>
        <v>OPTION 2 - KCN ACTIVATE SOME OF THEIR CLASS E UNITS</v>
      </c>
      <c r="H22" s="63"/>
      <c r="I22" s="63"/>
      <c r="J22" s="63"/>
      <c r="K22" s="64"/>
    </row>
    <row r="23" spans="1:11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63.75">
      <c r="A24" s="11" t="s">
        <v>0</v>
      </c>
      <c r="B24" s="12"/>
      <c r="C24" s="51" t="s">
        <v>6</v>
      </c>
      <c r="D24" s="51" t="s">
        <v>32</v>
      </c>
      <c r="E24" s="9"/>
      <c r="F24" s="9"/>
      <c r="G24" s="13" t="s">
        <v>0</v>
      </c>
      <c r="H24" s="12"/>
      <c r="I24" s="51" t="s">
        <v>6</v>
      </c>
      <c r="J24" s="51" t="s">
        <v>32</v>
      </c>
      <c r="K24" s="10"/>
    </row>
    <row r="25" spans="1:11" ht="12.75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3" ht="12.75">
      <c r="A26" s="8" t="s">
        <v>14</v>
      </c>
      <c r="B26" s="20">
        <f>($A$4-B29)*Units!D22</f>
        <v>968750000</v>
      </c>
      <c r="C26" s="55">
        <f>B26/B$31</f>
        <v>0.96875</v>
      </c>
      <c r="D26" s="55">
        <f>(B26+B30)/(B31-B29)</f>
        <v>1</v>
      </c>
      <c r="E26" s="9"/>
      <c r="F26" s="9"/>
      <c r="G26" s="9" t="s">
        <v>14</v>
      </c>
      <c r="H26" s="20">
        <f>B26-H28</f>
        <v>924038461.5384616</v>
      </c>
      <c r="I26" s="55">
        <f>H26/H$31</f>
        <v>0.9240384615384616</v>
      </c>
      <c r="J26" s="55">
        <f>(H26+H30)/(H31-H29)</f>
        <v>0.9538461538461539</v>
      </c>
      <c r="K26" s="10"/>
      <c r="M26" s="33">
        <f>Units!J22-'$s @ IC'!J25</f>
        <v>0</v>
      </c>
    </row>
    <row r="27" spans="1:13" ht="12.75">
      <c r="A27" s="8" t="s">
        <v>18</v>
      </c>
      <c r="B27" s="20">
        <f>($A$4-B29)*Units!D23</f>
        <v>0</v>
      </c>
      <c r="C27" s="55">
        <f>B27/B$31</f>
        <v>0</v>
      </c>
      <c r="D27" s="55">
        <f>(B27+B28)/(B31-B29)</f>
        <v>0</v>
      </c>
      <c r="E27" s="9"/>
      <c r="F27" s="9"/>
      <c r="G27" s="9" t="s">
        <v>18</v>
      </c>
      <c r="H27" s="20">
        <f>B27</f>
        <v>0</v>
      </c>
      <c r="I27" s="55">
        <f>H27/H$31</f>
        <v>0</v>
      </c>
      <c r="J27" s="72">
        <f>(H27+H28)/(H31-H29)</f>
        <v>0.046153846153846156</v>
      </c>
      <c r="K27" s="10"/>
      <c r="M27" s="73">
        <f>Units!J23-'$s @ IC'!J26</f>
        <v>0</v>
      </c>
    </row>
    <row r="28" spans="1:13" ht="12.75">
      <c r="A28" s="8" t="s">
        <v>4</v>
      </c>
      <c r="B28" s="20">
        <f>($A$4-B29)*Units!D24</f>
        <v>0</v>
      </c>
      <c r="C28" s="55">
        <f>B28/B$31</f>
        <v>0</v>
      </c>
      <c r="D28" s="55"/>
      <c r="E28" s="9"/>
      <c r="F28" s="9"/>
      <c r="G28" s="9" t="s">
        <v>4</v>
      </c>
      <c r="H28" s="21">
        <f>((B26+B27+B28+B30)/(Units!B22+Units!B23+Units!B24+Units!B26))*Units!H24</f>
        <v>44711538.461538464</v>
      </c>
      <c r="I28" s="55">
        <f>H28/H$31</f>
        <v>0.04471153846153846</v>
      </c>
      <c r="J28" s="72"/>
      <c r="K28" s="10"/>
      <c r="M28" s="73"/>
    </row>
    <row r="29" spans="1:11" ht="12.75">
      <c r="A29" s="8" t="s">
        <v>16</v>
      </c>
      <c r="B29" s="21">
        <f>'$s @ IC'!B28</f>
        <v>31250000</v>
      </c>
      <c r="C29" s="55">
        <f>B29/B$31</f>
        <v>0.03125</v>
      </c>
      <c r="D29" s="55"/>
      <c r="E29" s="9"/>
      <c r="F29" s="9"/>
      <c r="G29" s="9" t="s">
        <v>16</v>
      </c>
      <c r="H29" s="21">
        <f>B29</f>
        <v>31250000</v>
      </c>
      <c r="I29" s="55">
        <f>H29/H$31</f>
        <v>0.03125</v>
      </c>
      <c r="J29" s="55"/>
      <c r="K29" s="10"/>
    </row>
    <row r="30" spans="1:11" ht="12.75">
      <c r="A30" s="8" t="s">
        <v>17</v>
      </c>
      <c r="B30" s="22">
        <v>0</v>
      </c>
      <c r="C30" s="58">
        <f>B30/B$31</f>
        <v>0</v>
      </c>
      <c r="D30" s="58"/>
      <c r="E30" s="9"/>
      <c r="F30" s="9"/>
      <c r="G30" s="9" t="s">
        <v>17</v>
      </c>
      <c r="H30" s="22">
        <f>B30</f>
        <v>0</v>
      </c>
      <c r="I30" s="58">
        <f>H30/H$31</f>
        <v>0</v>
      </c>
      <c r="J30" s="58"/>
      <c r="K30" s="10"/>
    </row>
    <row r="31" spans="1:11" ht="12.75">
      <c r="A31" s="8"/>
      <c r="B31" s="21">
        <f>SUM(B26:B30)</f>
        <v>1000000000</v>
      </c>
      <c r="C31" s="55">
        <f>SUM(C26:C30)</f>
        <v>1</v>
      </c>
      <c r="D31" s="55">
        <f>SUM(D26:D30)</f>
        <v>1</v>
      </c>
      <c r="E31" s="9"/>
      <c r="F31" s="9"/>
      <c r="G31" s="9"/>
      <c r="H31" s="21">
        <f>SUM(H26:H30)</f>
        <v>1000000000</v>
      </c>
      <c r="I31" s="55">
        <f>SUM(I26:I30)</f>
        <v>1</v>
      </c>
      <c r="J31" s="55">
        <f>SUM(J26:J30)</f>
        <v>1</v>
      </c>
      <c r="K31" s="10"/>
    </row>
    <row r="32" spans="1:11" ht="12.75">
      <c r="A32" s="8"/>
      <c r="B32" s="16"/>
      <c r="C32" s="15"/>
      <c r="D32" s="15"/>
      <c r="E32" s="9"/>
      <c r="F32" s="9"/>
      <c r="G32" s="9"/>
      <c r="H32" s="16"/>
      <c r="I32" s="15"/>
      <c r="J32" s="15"/>
      <c r="K32" s="10"/>
    </row>
    <row r="33" spans="1:11" ht="12.75">
      <c r="A33" s="17"/>
      <c r="B33" s="1"/>
      <c r="C33" s="2"/>
      <c r="D33" s="2"/>
      <c r="E33" s="18"/>
      <c r="F33" s="18"/>
      <c r="G33" s="18"/>
      <c r="H33" s="1"/>
      <c r="I33" s="2"/>
      <c r="J33" s="2"/>
      <c r="K33" s="19"/>
    </row>
    <row r="35" spans="1:11" ht="25.5" customHeight="1">
      <c r="A35" s="66" t="str">
        <f>'$s @ IC'!A34:D34</f>
        <v>OPTION 3 - CNP ELECT COMMON EQUITY OPTION AND FOX &amp; YORK ELECT PREFERRED EQUITY OPTION</v>
      </c>
      <c r="B35" s="63"/>
      <c r="C35" s="63"/>
      <c r="D35" s="63"/>
      <c r="E35" s="63"/>
      <c r="F35" s="5"/>
      <c r="G35" s="63" t="str">
        <f>Units!G31</f>
        <v>OPTION 3 - KCN ACTIVATE ALL OF THEIR CLASS E UNITS</v>
      </c>
      <c r="H35" s="63"/>
      <c r="I35" s="63"/>
      <c r="J35" s="63"/>
      <c r="K35" s="64"/>
    </row>
    <row r="36" spans="1:11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</row>
    <row r="37" spans="1:11" ht="63.75">
      <c r="A37" s="11" t="s">
        <v>0</v>
      </c>
      <c r="B37" s="12"/>
      <c r="C37" s="51" t="s">
        <v>6</v>
      </c>
      <c r="D37" s="51" t="s">
        <v>32</v>
      </c>
      <c r="E37" s="9"/>
      <c r="F37" s="9"/>
      <c r="G37" s="13" t="s">
        <v>0</v>
      </c>
      <c r="H37" s="12"/>
      <c r="I37" s="51" t="s">
        <v>6</v>
      </c>
      <c r="J37" s="51" t="s">
        <v>32</v>
      </c>
      <c r="K37" s="10"/>
    </row>
    <row r="38" spans="1:11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3" ht="12.75">
      <c r="A39" s="8" t="s">
        <v>14</v>
      </c>
      <c r="B39" s="20">
        <f>($A$4-B42)*Units!D35</f>
        <v>882765151.5151515</v>
      </c>
      <c r="C39" s="55">
        <f>B39/B$44</f>
        <v>0.8827651515151514</v>
      </c>
      <c r="D39" s="55">
        <f>(B39+B43)/(B44-B42)</f>
        <v>0.8939393939393939</v>
      </c>
      <c r="E39" s="9"/>
      <c r="F39" s="9"/>
      <c r="G39" s="9" t="s">
        <v>14</v>
      </c>
      <c r="H39" s="20">
        <f>B39-H41</f>
        <v>807954545.4545455</v>
      </c>
      <c r="I39" s="55">
        <f>H39/H$44</f>
        <v>0.8079545454545455</v>
      </c>
      <c r="J39" s="55">
        <f>(H39+H43)/(H44-H42)</f>
        <v>0.8181818181818182</v>
      </c>
      <c r="K39" s="10"/>
      <c r="L39" s="29"/>
      <c r="M39" s="33">
        <f>Units!J35-'$s @ IC'!J38</f>
        <v>0</v>
      </c>
    </row>
    <row r="40" spans="1:13" ht="12.75">
      <c r="A40" s="8" t="s">
        <v>18</v>
      </c>
      <c r="B40" s="20">
        <f>($A$4-B42)*Units!D36</f>
        <v>104734848.48484848</v>
      </c>
      <c r="C40" s="55">
        <f>B40/B$44</f>
        <v>0.10473484848484849</v>
      </c>
      <c r="D40" s="55">
        <f>(B40+B41)/(B44-B42)</f>
        <v>0.10606060606060606</v>
      </c>
      <c r="E40" s="9"/>
      <c r="F40" s="9"/>
      <c r="G40" s="9" t="s">
        <v>18</v>
      </c>
      <c r="H40" s="20">
        <f>B40</f>
        <v>104734848.48484848</v>
      </c>
      <c r="I40" s="55">
        <f>H40/H$44</f>
        <v>0.10473484848484849</v>
      </c>
      <c r="J40" s="72">
        <f>(H40+H41)/(H44-H42)</f>
        <v>0.18181818181818182</v>
      </c>
      <c r="K40" s="10"/>
      <c r="L40" s="29"/>
      <c r="M40" s="73">
        <f>Units!J36-'$s @ IC'!J39</f>
        <v>0</v>
      </c>
    </row>
    <row r="41" spans="1:13" ht="12.75">
      <c r="A41" s="8" t="s">
        <v>4</v>
      </c>
      <c r="B41" s="20">
        <f>($A$4-B42)*Units!D37</f>
        <v>0</v>
      </c>
      <c r="C41" s="55">
        <f>B41/B$44</f>
        <v>0</v>
      </c>
      <c r="D41" s="55"/>
      <c r="E41" s="9"/>
      <c r="F41" s="9"/>
      <c r="G41" s="9" t="s">
        <v>4</v>
      </c>
      <c r="H41" s="21">
        <f>((B39+B40+B41+B43)/(Units!B35+Units!B36+Units!B37+Units!B39))*Units!H37</f>
        <v>74810606.06060606</v>
      </c>
      <c r="I41" s="55">
        <f>H41/H$44</f>
        <v>0.07481060606060606</v>
      </c>
      <c r="J41" s="72"/>
      <c r="K41" s="10"/>
      <c r="L41" s="29"/>
      <c r="M41" s="73"/>
    </row>
    <row r="42" spans="1:12" ht="12.75">
      <c r="A42" s="8" t="s">
        <v>16</v>
      </c>
      <c r="B42" s="21">
        <f>'$s @ IC'!B41</f>
        <v>12500000</v>
      </c>
      <c r="C42" s="55">
        <f>B42/B$44</f>
        <v>0.0125</v>
      </c>
      <c r="D42" s="55"/>
      <c r="E42" s="9"/>
      <c r="F42" s="9"/>
      <c r="G42" s="9" t="s">
        <v>16</v>
      </c>
      <c r="H42" s="21">
        <f>B42</f>
        <v>12500000</v>
      </c>
      <c r="I42" s="55">
        <f>H42/H$44</f>
        <v>0.0125</v>
      </c>
      <c r="J42" s="55"/>
      <c r="K42" s="10"/>
      <c r="L42" s="29"/>
    </row>
    <row r="43" spans="1:12" ht="12.75">
      <c r="A43" s="8" t="s">
        <v>17</v>
      </c>
      <c r="B43" s="22">
        <v>0</v>
      </c>
      <c r="C43" s="58">
        <f>B43/B$44</f>
        <v>0</v>
      </c>
      <c r="D43" s="58"/>
      <c r="E43" s="9"/>
      <c r="F43" s="9"/>
      <c r="G43" s="9" t="s">
        <v>17</v>
      </c>
      <c r="H43" s="22">
        <f>B43</f>
        <v>0</v>
      </c>
      <c r="I43" s="58">
        <f>H43/H$44</f>
        <v>0</v>
      </c>
      <c r="J43" s="58"/>
      <c r="K43" s="10"/>
      <c r="L43" s="29"/>
    </row>
    <row r="44" spans="1:11" ht="12.75">
      <c r="A44" s="8"/>
      <c r="B44" s="21">
        <f>SUM(B39:B43)</f>
        <v>1000000000</v>
      </c>
      <c r="C44" s="55">
        <f>SUM(C39:C43)</f>
        <v>0.9999999999999999</v>
      </c>
      <c r="D44" s="55">
        <f>SUM(D39:D43)</f>
        <v>1</v>
      </c>
      <c r="E44" s="9"/>
      <c r="F44" s="9"/>
      <c r="G44" s="9"/>
      <c r="H44" s="21">
        <f>SUM(H39:H43)</f>
        <v>1000000000</v>
      </c>
      <c r="I44" s="55">
        <f>SUM(I39:I43)</f>
        <v>1</v>
      </c>
      <c r="J44" s="55">
        <f>SUM(J39:J43)</f>
        <v>1</v>
      </c>
      <c r="K44" s="10"/>
    </row>
    <row r="45" spans="1:1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60" t="s">
        <v>54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ht="12.75">
      <c r="H48" s="25"/>
    </row>
  </sheetData>
  <mergeCells count="14">
    <mergeCell ref="A8:E8"/>
    <mergeCell ref="A22:E22"/>
    <mergeCell ref="M27:M28"/>
    <mergeCell ref="G8:K8"/>
    <mergeCell ref="A2:K2"/>
    <mergeCell ref="M40:M41"/>
    <mergeCell ref="J13:J14"/>
    <mergeCell ref="J27:J28"/>
    <mergeCell ref="J40:J41"/>
    <mergeCell ref="G22:K22"/>
    <mergeCell ref="G35:K35"/>
    <mergeCell ref="A35:E35"/>
    <mergeCell ref="A6:K6"/>
    <mergeCell ref="M13:M14"/>
  </mergeCells>
  <printOptions horizontalCentered="1"/>
  <pageMargins left="0.75" right="0.5" top="0.75" bottom="0.75" header="0.5" footer="0.5"/>
  <pageSetup fitToHeight="1" fitToWidth="1"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3"/>
  <sheetViews>
    <sheetView view="pageBreakPreview" zoomScale="60" zoomScaleNormal="90" workbookViewId="0" topLeftCell="A1">
      <selection activeCell="D36" sqref="D36"/>
    </sheetView>
  </sheetViews>
  <sheetFormatPr defaultColWidth="9.140625" defaultRowHeight="12.75" outlineLevelRow="1" outlineLevelCol="1"/>
  <cols>
    <col min="1" max="1" width="21.140625" style="0" bestFit="1" customWidth="1"/>
    <col min="2" max="2" width="17.00390625" style="0" bestFit="1" customWidth="1"/>
    <col min="3" max="4" width="10.7109375" style="0" customWidth="1"/>
    <col min="5" max="5" width="3.57421875" style="0" customWidth="1"/>
    <col min="6" max="6" width="18.8515625" style="0" hidden="1" customWidth="1" outlineLevel="1"/>
    <col min="7" max="7" width="17.00390625" style="0" bestFit="1" customWidth="1" collapsed="1"/>
    <col min="8" max="9" width="10.7109375" style="0" customWidth="1"/>
    <col min="10" max="10" width="5.00390625" style="0" customWidth="1"/>
    <col min="11" max="11" width="3.7109375" style="0" customWidth="1"/>
    <col min="12" max="13" width="14.7109375" style="0" customWidth="1"/>
    <col min="14" max="14" width="13.7109375" style="0" bestFit="1" customWidth="1"/>
    <col min="15" max="15" width="10.57421875" style="0" bestFit="1" customWidth="1"/>
    <col min="16" max="16" width="3.7109375" style="0" customWidth="1"/>
    <col min="17" max="17" width="17.8515625" style="0" bestFit="1" customWidth="1"/>
    <col min="18" max="18" width="16.8515625" style="0" bestFit="1" customWidth="1"/>
    <col min="19" max="20" width="10.7109375" style="0" customWidth="1"/>
    <col min="21" max="21" width="3.57421875" style="0" customWidth="1"/>
    <col min="22" max="22" width="17.8515625" style="0" hidden="1" customWidth="1" outlineLevel="1"/>
    <col min="23" max="23" width="9.28125" style="0" bestFit="1" customWidth="1" collapsed="1"/>
    <col min="24" max="25" width="10.7109375" style="0" customWidth="1"/>
    <col min="27" max="27" width="11.8515625" style="0" hidden="1" customWidth="1" outlineLevel="1"/>
    <col min="28" max="28" width="9.140625" style="0" customWidth="1" collapsed="1"/>
  </cols>
  <sheetData>
    <row r="1" spans="1:25" ht="12.75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" ht="18">
      <c r="A2" s="46" t="s">
        <v>37</v>
      </c>
      <c r="B2" s="32"/>
    </row>
    <row r="3" spans="1:2" s="47" customFormat="1" ht="12.75">
      <c r="A3" s="49">
        <f>'$s @ YR 10'!A4</f>
        <v>1000000000</v>
      </c>
      <c r="B3" s="32" t="str">
        <f>'$s @ YR 10'!B4</f>
        <v>Assumed book value of total equity 10 years after Final Close</v>
      </c>
    </row>
    <row r="4" spans="1:25" ht="12.75">
      <c r="A4" s="31"/>
      <c r="B4" s="32"/>
      <c r="L4" s="41">
        <v>100000000</v>
      </c>
      <c r="M4" s="42" t="s">
        <v>24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7"/>
    </row>
    <row r="5" spans="1:25" ht="12.75">
      <c r="A5" s="82" t="s">
        <v>21</v>
      </c>
      <c r="B5" s="83"/>
      <c r="C5" s="83"/>
      <c r="D5" s="83"/>
      <c r="E5" s="83"/>
      <c r="F5" s="83"/>
      <c r="G5" s="83"/>
      <c r="H5" s="83"/>
      <c r="I5" s="83"/>
      <c r="J5" s="84"/>
      <c r="L5" s="43">
        <v>3000000</v>
      </c>
      <c r="M5" s="44" t="s">
        <v>25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</row>
    <row r="6" spans="1:10" ht="12.7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25" ht="24.75" customHeight="1">
      <c r="A7" s="85" t="str">
        <f>Units!A4</f>
        <v>OPTION 1 - ALL KCN ELECT COMMON EQUITY OPTION</v>
      </c>
      <c r="B7" s="61"/>
      <c r="C7" s="61"/>
      <c r="D7" s="61"/>
      <c r="E7" s="5"/>
      <c r="F7" s="80"/>
      <c r="G7" s="80"/>
      <c r="H7" s="80"/>
      <c r="I7" s="80"/>
      <c r="J7" s="81"/>
      <c r="L7" s="23"/>
      <c r="M7" s="5"/>
      <c r="N7" s="5"/>
      <c r="O7" s="7"/>
      <c r="Q7" s="4" t="s">
        <v>26</v>
      </c>
      <c r="R7" s="5"/>
      <c r="S7" s="5"/>
      <c r="T7" s="5"/>
      <c r="U7" s="5"/>
      <c r="V7" s="6" t="s">
        <v>27</v>
      </c>
      <c r="W7" s="5"/>
      <c r="X7" s="5"/>
      <c r="Y7" s="7"/>
    </row>
    <row r="8" spans="1:25" ht="12.75">
      <c r="A8" s="8"/>
      <c r="B8" s="9"/>
      <c r="C8" s="9"/>
      <c r="D8" s="9"/>
      <c r="E8" s="9"/>
      <c r="F8" s="9"/>
      <c r="G8" s="9"/>
      <c r="H8" s="9"/>
      <c r="I8" s="9"/>
      <c r="J8" s="10"/>
      <c r="L8" s="8"/>
      <c r="M8" s="9"/>
      <c r="N8" s="9"/>
      <c r="O8" s="10"/>
      <c r="Q8" s="8"/>
      <c r="R8" s="9"/>
      <c r="S8" s="9"/>
      <c r="T8" s="9"/>
      <c r="U8" s="9"/>
      <c r="V8" s="9"/>
      <c r="W8" s="9"/>
      <c r="X8" s="9"/>
      <c r="Y8" s="10"/>
    </row>
    <row r="9" spans="1:25" s="3" customFormat="1" ht="63" customHeight="1">
      <c r="A9" s="11" t="s">
        <v>0</v>
      </c>
      <c r="B9" s="12" t="s">
        <v>1</v>
      </c>
      <c r="C9" s="12" t="s">
        <v>2</v>
      </c>
      <c r="D9" s="12" t="s">
        <v>3</v>
      </c>
      <c r="E9" s="12"/>
      <c r="F9" s="13" t="s">
        <v>0</v>
      </c>
      <c r="G9" s="12"/>
      <c r="H9" s="51" t="s">
        <v>6</v>
      </c>
      <c r="I9" s="51" t="s">
        <v>7</v>
      </c>
      <c r="J9" s="14"/>
      <c r="L9" s="34" t="s">
        <v>22</v>
      </c>
      <c r="M9" s="12" t="s">
        <v>23</v>
      </c>
      <c r="N9" s="12" t="s">
        <v>28</v>
      </c>
      <c r="O9" s="14" t="s">
        <v>29</v>
      </c>
      <c r="Q9" s="11" t="s">
        <v>0</v>
      </c>
      <c r="R9" s="12"/>
      <c r="S9" s="51" t="s">
        <v>6</v>
      </c>
      <c r="T9" s="51" t="s">
        <v>7</v>
      </c>
      <c r="U9" s="12"/>
      <c r="V9" s="13" t="s">
        <v>0</v>
      </c>
      <c r="W9" s="12" t="s">
        <v>1</v>
      </c>
      <c r="X9" s="12" t="s">
        <v>2</v>
      </c>
      <c r="Y9" s="14" t="s">
        <v>3</v>
      </c>
    </row>
    <row r="10" spans="1:25" ht="12.75">
      <c r="A10" s="8"/>
      <c r="B10" s="9"/>
      <c r="C10" s="9"/>
      <c r="D10" s="9"/>
      <c r="E10" s="9"/>
      <c r="F10" s="9"/>
      <c r="G10" s="9"/>
      <c r="H10" s="53"/>
      <c r="I10" s="53"/>
      <c r="J10" s="10"/>
      <c r="L10" s="8"/>
      <c r="M10" s="9"/>
      <c r="N10" s="9"/>
      <c r="O10" s="10"/>
      <c r="Q10" s="8"/>
      <c r="R10" s="9"/>
      <c r="S10" s="53"/>
      <c r="T10" s="53"/>
      <c r="U10" s="9"/>
      <c r="V10" s="9"/>
      <c r="W10" s="9"/>
      <c r="X10" s="9"/>
      <c r="Y10" s="10"/>
    </row>
    <row r="11" spans="1:27" ht="12.75">
      <c r="A11" s="8" t="s">
        <v>14</v>
      </c>
      <c r="B11" s="50">
        <f>Units!H8</f>
        <v>7500</v>
      </c>
      <c r="C11" s="15">
        <f>B11/B$16</f>
        <v>0.75</v>
      </c>
      <c r="D11" s="15">
        <f>(B11+B15)/(B16-B14)</f>
        <v>0.75</v>
      </c>
      <c r="E11" s="9"/>
      <c r="F11" s="9" t="s">
        <v>14</v>
      </c>
      <c r="G11" s="20">
        <f>'$s @ YR 10'!H12</f>
        <v>750000000</v>
      </c>
      <c r="H11" s="55">
        <f>G11/G$16</f>
        <v>0.75</v>
      </c>
      <c r="I11" s="55">
        <f>(G11+G15)/(G16-G14)</f>
        <v>0.75</v>
      </c>
      <c r="J11" s="10"/>
      <c r="L11" s="35">
        <f>$L$4*((B11+B15)/(B$16-B$14))</f>
        <v>75000000</v>
      </c>
      <c r="M11" s="21">
        <f>$L$4-M12-M13-M14-M15</f>
        <v>79500000</v>
      </c>
      <c r="N11" s="24">
        <f>M11-L11</f>
        <v>4500000</v>
      </c>
      <c r="O11" s="36">
        <f>N11/((R16-R14)/(B16-B14))</f>
        <v>40.90909090909091</v>
      </c>
      <c r="Q11" s="8" t="s">
        <v>14</v>
      </c>
      <c r="R11" s="20">
        <f>G11+M11</f>
        <v>829500000</v>
      </c>
      <c r="S11" s="55">
        <f>R11/R$16</f>
        <v>0.7540909090909091</v>
      </c>
      <c r="T11" s="55">
        <f>(R11+R15)/(R16-R14)</f>
        <v>0.7540909090909091</v>
      </c>
      <c r="U11" s="9"/>
      <c r="V11" s="9" t="s">
        <v>14</v>
      </c>
      <c r="W11" s="50">
        <f>B11+O11</f>
        <v>7540.909090909091</v>
      </c>
      <c r="X11" s="15">
        <f>W11/W$16</f>
        <v>0.7540909090909089</v>
      </c>
      <c r="Y11" s="39">
        <f>(W11+W15)/(W16-W14)</f>
        <v>0.7540909090909089</v>
      </c>
      <c r="AA11" s="45">
        <f>T11-Y11</f>
        <v>0</v>
      </c>
    </row>
    <row r="12" spans="1:27" ht="12.75">
      <c r="A12" s="8" t="s">
        <v>18</v>
      </c>
      <c r="B12" s="16">
        <f>Units!H9</f>
        <v>1750</v>
      </c>
      <c r="C12" s="15">
        <f>B12/B$16</f>
        <v>0.175</v>
      </c>
      <c r="D12" s="79">
        <f>(B12+B13)/(B16-B14)</f>
        <v>0.25</v>
      </c>
      <c r="E12" s="9"/>
      <c r="F12" s="9" t="s">
        <v>18</v>
      </c>
      <c r="G12" s="20">
        <f>'$s @ YR 10'!H13</f>
        <v>175000000</v>
      </c>
      <c r="H12" s="55">
        <f>G12/G$16</f>
        <v>0.175</v>
      </c>
      <c r="I12" s="72">
        <f>(G12+G13)/(G16-G14)</f>
        <v>0.25</v>
      </c>
      <c r="J12" s="10"/>
      <c r="L12" s="35">
        <f>$L$4*((B12)/(B$16-B$14))</f>
        <v>17500000</v>
      </c>
      <c r="M12" s="21">
        <f>L12</f>
        <v>17500000</v>
      </c>
      <c r="N12" s="24">
        <f>M12-L12</f>
        <v>0</v>
      </c>
      <c r="O12" s="36"/>
      <c r="Q12" s="8" t="s">
        <v>18</v>
      </c>
      <c r="R12" s="20">
        <f>G12+M12</f>
        <v>192500000</v>
      </c>
      <c r="S12" s="55">
        <f>R12/R$16</f>
        <v>0.175</v>
      </c>
      <c r="T12" s="72">
        <f>(R12+R13)/(R16-R14)</f>
        <v>0.2459090909090909</v>
      </c>
      <c r="U12" s="9"/>
      <c r="V12" s="9" t="s">
        <v>18</v>
      </c>
      <c r="W12" s="16">
        <f>B12+O12</f>
        <v>1750</v>
      </c>
      <c r="X12" s="15">
        <f>W12/W$16</f>
        <v>0.17499999999999996</v>
      </c>
      <c r="Y12" s="78">
        <f>(W12+W13)/(W16-W14)</f>
        <v>0.24590909090909085</v>
      </c>
      <c r="AA12" s="86">
        <f>T12-Y12</f>
        <v>0</v>
      </c>
    </row>
    <row r="13" spans="1:27" ht="12.75">
      <c r="A13" s="8" t="s">
        <v>4</v>
      </c>
      <c r="B13" s="16">
        <f>Units!H10</f>
        <v>750</v>
      </c>
      <c r="C13" s="15">
        <f>B13/B$16</f>
        <v>0.075</v>
      </c>
      <c r="D13" s="79"/>
      <c r="E13" s="9"/>
      <c r="F13" s="9" t="s">
        <v>4</v>
      </c>
      <c r="G13" s="21">
        <f>'$s @ YR 10'!H14</f>
        <v>75000000</v>
      </c>
      <c r="H13" s="55">
        <f>G13/G$16</f>
        <v>0.075</v>
      </c>
      <c r="I13" s="72"/>
      <c r="J13" s="10"/>
      <c r="L13" s="35">
        <f>$L$4*((B13)/(B$16-B$14))</f>
        <v>7500000</v>
      </c>
      <c r="M13" s="37">
        <f>$L$5</f>
        <v>3000000</v>
      </c>
      <c r="N13" s="24">
        <f>M13-L13</f>
        <v>-4500000</v>
      </c>
      <c r="O13" s="36">
        <f>N13/((R16-R14)/(B16-B14))</f>
        <v>-40.90909090909091</v>
      </c>
      <c r="Q13" s="8" t="s">
        <v>4</v>
      </c>
      <c r="R13" s="21">
        <f>G13+M13</f>
        <v>78000000</v>
      </c>
      <c r="S13" s="55">
        <f>R13/R$16</f>
        <v>0.07090909090909091</v>
      </c>
      <c r="T13" s="72"/>
      <c r="U13" s="9"/>
      <c r="V13" s="9" t="s">
        <v>4</v>
      </c>
      <c r="W13" s="16">
        <f>B13+O13</f>
        <v>709.0909090909091</v>
      </c>
      <c r="X13" s="15">
        <f>W13/W$16</f>
        <v>0.0709090909090909</v>
      </c>
      <c r="Y13" s="78"/>
      <c r="AA13" s="86"/>
    </row>
    <row r="14" spans="1:25" ht="12.75">
      <c r="A14" s="8" t="s">
        <v>16</v>
      </c>
      <c r="B14" s="16">
        <f>Units!H11</f>
        <v>0</v>
      </c>
      <c r="C14" s="15">
        <f>B14/B$16</f>
        <v>0</v>
      </c>
      <c r="D14" s="15"/>
      <c r="E14" s="9"/>
      <c r="F14" s="9" t="s">
        <v>16</v>
      </c>
      <c r="G14" s="21">
        <f>'$s @ YR 10'!H15</f>
        <v>0</v>
      </c>
      <c r="H14" s="55">
        <f>G14/G$16</f>
        <v>0</v>
      </c>
      <c r="I14" s="55"/>
      <c r="J14" s="10"/>
      <c r="L14" s="35">
        <v>0</v>
      </c>
      <c r="M14" s="21">
        <f>L14</f>
        <v>0</v>
      </c>
      <c r="N14" s="24">
        <f>M14-L14</f>
        <v>0</v>
      </c>
      <c r="O14" s="36"/>
      <c r="Q14" s="8" t="s">
        <v>16</v>
      </c>
      <c r="R14" s="21">
        <f>G14+M14</f>
        <v>0</v>
      </c>
      <c r="S14" s="55">
        <f>R14/R$16</f>
        <v>0</v>
      </c>
      <c r="T14" s="55"/>
      <c r="U14" s="9"/>
      <c r="V14" s="9" t="s">
        <v>16</v>
      </c>
      <c r="W14" s="16">
        <f>B14+O14</f>
        <v>0</v>
      </c>
      <c r="X14" s="15">
        <f>W14/W$16</f>
        <v>0</v>
      </c>
      <c r="Y14" s="39"/>
    </row>
    <row r="15" spans="1:25" ht="12.75">
      <c r="A15" s="8" t="s">
        <v>17</v>
      </c>
      <c r="B15" s="1">
        <f>Units!H12</f>
        <v>0</v>
      </c>
      <c r="C15" s="2">
        <f>B15/B$16</f>
        <v>0</v>
      </c>
      <c r="D15" s="2"/>
      <c r="E15" s="9"/>
      <c r="F15" s="9" t="s">
        <v>17</v>
      </c>
      <c r="G15" s="22">
        <f>'$s @ YR 10'!H16</f>
        <v>0</v>
      </c>
      <c r="H15" s="58">
        <f>G15/G$16</f>
        <v>0</v>
      </c>
      <c r="I15" s="58"/>
      <c r="J15" s="10"/>
      <c r="L15" s="38">
        <v>0</v>
      </c>
      <c r="M15" s="22">
        <f>L15</f>
        <v>0</v>
      </c>
      <c r="N15" s="24">
        <f>M15-L15</f>
        <v>0</v>
      </c>
      <c r="O15" s="36"/>
      <c r="Q15" s="8" t="s">
        <v>17</v>
      </c>
      <c r="R15" s="22">
        <f>G15+M15</f>
        <v>0</v>
      </c>
      <c r="S15" s="58">
        <f>R15/R$16</f>
        <v>0</v>
      </c>
      <c r="T15" s="58"/>
      <c r="U15" s="9"/>
      <c r="V15" s="9" t="s">
        <v>17</v>
      </c>
      <c r="W15" s="1">
        <f>B15+O15</f>
        <v>0</v>
      </c>
      <c r="X15" s="2">
        <f>W15/W$16</f>
        <v>0</v>
      </c>
      <c r="Y15" s="40"/>
    </row>
    <row r="16" spans="1:25" ht="12.75">
      <c r="A16" s="8"/>
      <c r="B16" s="16">
        <f>SUM(B11:B15)</f>
        <v>10000</v>
      </c>
      <c r="C16" s="15">
        <f>SUM(C11:C15)</f>
        <v>1</v>
      </c>
      <c r="D16" s="15">
        <f>SUM(D11:D15)</f>
        <v>1</v>
      </c>
      <c r="E16" s="9"/>
      <c r="F16" s="9"/>
      <c r="G16" s="21">
        <f>SUM(G11:G15)</f>
        <v>1000000000</v>
      </c>
      <c r="H16" s="55">
        <f>SUM(H11:H15)</f>
        <v>1</v>
      </c>
      <c r="I16" s="55">
        <f>SUM(I11:I15)</f>
        <v>1</v>
      </c>
      <c r="J16" s="10"/>
      <c r="L16" s="35">
        <f>SUM(L11:L15)</f>
        <v>100000000</v>
      </c>
      <c r="M16" s="21">
        <f>SUM(M11:M15)</f>
        <v>100000000</v>
      </c>
      <c r="N16" s="9"/>
      <c r="O16" s="10"/>
      <c r="Q16" s="8"/>
      <c r="R16" s="21">
        <f>SUM(R11:R15)</f>
        <v>1100000000</v>
      </c>
      <c r="S16" s="55">
        <f>SUM(S11:S15)</f>
        <v>1</v>
      </c>
      <c r="T16" s="55">
        <f>SUM(T11:T15)</f>
        <v>1</v>
      </c>
      <c r="U16" s="9"/>
      <c r="V16" s="9"/>
      <c r="W16" s="16">
        <f>SUM(W11:W15)</f>
        <v>10000.000000000002</v>
      </c>
      <c r="X16" s="15">
        <f>SUM(X11:X15)</f>
        <v>0.9999999999999998</v>
      </c>
      <c r="Y16" s="39">
        <f>SUM(Y11:Y15)</f>
        <v>0.9999999999999998</v>
      </c>
    </row>
    <row r="17" spans="1:25" ht="12.75">
      <c r="A17" s="8"/>
      <c r="B17" s="21"/>
      <c r="C17" s="15"/>
      <c r="D17" s="15"/>
      <c r="E17" s="9"/>
      <c r="F17" s="9"/>
      <c r="G17" s="21"/>
      <c r="H17" s="15"/>
      <c r="I17" s="15"/>
      <c r="J17" s="10"/>
      <c r="L17" s="8"/>
      <c r="M17" s="9"/>
      <c r="N17" s="9"/>
      <c r="O17" s="10"/>
      <c r="Q17" s="8"/>
      <c r="R17" s="9"/>
      <c r="S17" s="9"/>
      <c r="T17" s="9"/>
      <c r="U17" s="9"/>
      <c r="V17" s="9"/>
      <c r="W17" s="9"/>
      <c r="X17" s="9"/>
      <c r="Y17" s="10"/>
    </row>
    <row r="18" spans="1:25" ht="12.75">
      <c r="A18" s="8"/>
      <c r="B18" s="16"/>
      <c r="C18" s="15"/>
      <c r="D18" s="9"/>
      <c r="E18" s="9"/>
      <c r="F18" s="9"/>
      <c r="G18" s="9"/>
      <c r="H18" s="9"/>
      <c r="I18" s="9"/>
      <c r="J18" s="10"/>
      <c r="L18" s="8"/>
      <c r="M18" s="9"/>
      <c r="N18" s="9"/>
      <c r="O18" s="10"/>
      <c r="Q18" s="8"/>
      <c r="R18" s="21"/>
      <c r="S18" s="9"/>
      <c r="T18" s="9"/>
      <c r="U18" s="9"/>
      <c r="V18" s="9"/>
      <c r="W18" s="9"/>
      <c r="X18" s="9"/>
      <c r="Y18" s="10"/>
    </row>
    <row r="19" spans="1:25" ht="12.75">
      <c r="A19" s="17"/>
      <c r="B19" s="1"/>
      <c r="C19" s="2"/>
      <c r="D19" s="18"/>
      <c r="E19" s="18"/>
      <c r="F19" s="18"/>
      <c r="G19" s="18"/>
      <c r="H19" s="18"/>
      <c r="I19" s="18"/>
      <c r="J19" s="19"/>
      <c r="L19" s="17"/>
      <c r="M19" s="18"/>
      <c r="N19" s="18"/>
      <c r="O19" s="19"/>
      <c r="Q19" s="17"/>
      <c r="R19" s="18"/>
      <c r="S19" s="18"/>
      <c r="T19" s="18"/>
      <c r="U19" s="18"/>
      <c r="V19" s="18"/>
      <c r="W19" s="18"/>
      <c r="X19" s="18"/>
      <c r="Y19" s="19"/>
    </row>
    <row r="21" spans="1:25" ht="25.5" customHeight="1">
      <c r="A21" s="85" t="str">
        <f>Units!A18</f>
        <v>OPTION 2 - ALL KCN ELECT PREFERRED EQUITY OPTION</v>
      </c>
      <c r="B21" s="61"/>
      <c r="C21" s="61"/>
      <c r="D21" s="61"/>
      <c r="E21" s="5"/>
      <c r="F21" s="80"/>
      <c r="G21" s="80"/>
      <c r="H21" s="80"/>
      <c r="I21" s="80"/>
      <c r="J21" s="81"/>
      <c r="L21" s="23"/>
      <c r="M21" s="5"/>
      <c r="N21" s="5"/>
      <c r="O21" s="7"/>
      <c r="Q21" s="4" t="s">
        <v>26</v>
      </c>
      <c r="R21" s="5"/>
      <c r="S21" s="5"/>
      <c r="T21" s="5"/>
      <c r="U21" s="5"/>
      <c r="V21" s="6" t="s">
        <v>27</v>
      </c>
      <c r="W21" s="5"/>
      <c r="X21" s="5"/>
      <c r="Y21" s="7"/>
    </row>
    <row r="22" spans="1:25" ht="12.75">
      <c r="A22" s="8"/>
      <c r="B22" s="9"/>
      <c r="C22" s="9"/>
      <c r="D22" s="9"/>
      <c r="E22" s="9"/>
      <c r="F22" s="9"/>
      <c r="G22" s="9"/>
      <c r="H22" s="9"/>
      <c r="I22" s="9"/>
      <c r="J22" s="10"/>
      <c r="L22" s="8"/>
      <c r="M22" s="9"/>
      <c r="N22" s="9"/>
      <c r="O22" s="10"/>
      <c r="Q22" s="8"/>
      <c r="R22" s="9"/>
      <c r="S22" s="9"/>
      <c r="T22" s="9"/>
      <c r="U22" s="9"/>
      <c r="V22" s="9"/>
      <c r="W22" s="9"/>
      <c r="X22" s="9"/>
      <c r="Y22" s="10"/>
    </row>
    <row r="23" spans="1:25" ht="63.75" customHeight="1">
      <c r="A23" s="11" t="s">
        <v>0</v>
      </c>
      <c r="B23" s="12" t="s">
        <v>1</v>
      </c>
      <c r="C23" s="12" t="s">
        <v>2</v>
      </c>
      <c r="D23" s="12" t="s">
        <v>3</v>
      </c>
      <c r="E23" s="9"/>
      <c r="F23" s="13" t="s">
        <v>0</v>
      </c>
      <c r="G23" s="12"/>
      <c r="H23" s="51" t="s">
        <v>6</v>
      </c>
      <c r="I23" s="51" t="s">
        <v>7</v>
      </c>
      <c r="J23" s="10"/>
      <c r="L23" s="34" t="s">
        <v>22</v>
      </c>
      <c r="M23" s="12" t="s">
        <v>23</v>
      </c>
      <c r="N23" s="12" t="s">
        <v>28</v>
      </c>
      <c r="O23" s="14" t="s">
        <v>29</v>
      </c>
      <c r="P23" s="3"/>
      <c r="Q23" s="11" t="s">
        <v>0</v>
      </c>
      <c r="R23" s="12"/>
      <c r="S23" s="51" t="s">
        <v>6</v>
      </c>
      <c r="T23" s="51" t="s">
        <v>7</v>
      </c>
      <c r="U23" s="12"/>
      <c r="V23" s="13" t="s">
        <v>0</v>
      </c>
      <c r="W23" s="12" t="s">
        <v>1</v>
      </c>
      <c r="X23" s="12" t="s">
        <v>2</v>
      </c>
      <c r="Y23" s="14" t="s">
        <v>3</v>
      </c>
    </row>
    <row r="24" spans="1:25" ht="12.75">
      <c r="A24" s="8"/>
      <c r="B24" s="9"/>
      <c r="C24" s="9"/>
      <c r="D24" s="9"/>
      <c r="E24" s="9"/>
      <c r="F24" s="9"/>
      <c r="G24" s="9"/>
      <c r="H24" s="9"/>
      <c r="I24" s="9"/>
      <c r="J24" s="10"/>
      <c r="L24" s="8"/>
      <c r="M24" s="9"/>
      <c r="N24" s="9"/>
      <c r="O24" s="10"/>
      <c r="Q24" s="8"/>
      <c r="R24" s="9"/>
      <c r="S24" s="53"/>
      <c r="T24" s="53"/>
      <c r="U24" s="9"/>
      <c r="V24" s="9"/>
      <c r="W24" s="9"/>
      <c r="X24" s="9"/>
      <c r="Y24" s="10"/>
    </row>
    <row r="25" spans="1:27" ht="12.75">
      <c r="A25" s="8" t="s">
        <v>14</v>
      </c>
      <c r="B25" s="50">
        <f>Units!H22</f>
        <v>9000</v>
      </c>
      <c r="C25" s="15">
        <f>B25/B$16</f>
        <v>0.9</v>
      </c>
      <c r="D25" s="15">
        <f>(B25+B29)/(B30-B28)</f>
        <v>0.9538461538461539</v>
      </c>
      <c r="E25" s="9"/>
      <c r="F25" s="9" t="s">
        <v>14</v>
      </c>
      <c r="G25" s="20">
        <f>'$s @ YR 10'!H26</f>
        <v>924038461.5384616</v>
      </c>
      <c r="H25" s="55">
        <f>G25/G$30</f>
        <v>0.9240384615384616</v>
      </c>
      <c r="I25" s="55">
        <f>(G25+G29)/(G30-G28)</f>
        <v>0.9538461538461539</v>
      </c>
      <c r="J25" s="10"/>
      <c r="L25" s="35">
        <f>$L$4*((B25+B29)/(B$30-B$28))</f>
        <v>95384615.38461539</v>
      </c>
      <c r="M25" s="21">
        <f>$L$4-M26-M27-M28-M29</f>
        <v>97000000</v>
      </c>
      <c r="N25" s="24">
        <f>M25-L25</f>
        <v>1615384.6153846085</v>
      </c>
      <c r="O25" s="36">
        <f>N25/((R30-R28)/(B30-B28))</f>
        <v>14.736842105263095</v>
      </c>
      <c r="Q25" s="8" t="s">
        <v>14</v>
      </c>
      <c r="R25" s="20">
        <f>G25+M25</f>
        <v>1021038461.5384616</v>
      </c>
      <c r="S25" s="55">
        <f>R25/R$16</f>
        <v>0.9282167832167832</v>
      </c>
      <c r="T25" s="55">
        <f>(R25+R29)/(R30-R28)</f>
        <v>0.955357624831309</v>
      </c>
      <c r="U25" s="9"/>
      <c r="V25" s="9" t="s">
        <v>14</v>
      </c>
      <c r="W25" s="50">
        <f>B25+O25</f>
        <v>9014.736842105263</v>
      </c>
      <c r="X25" s="15">
        <f>W25/W$16</f>
        <v>0.9014736842105262</v>
      </c>
      <c r="Y25" s="39">
        <f>(W25+W29)/(W30-W28)</f>
        <v>0.955357624831309</v>
      </c>
      <c r="AA25" s="45">
        <f>T25-Y25</f>
        <v>0</v>
      </c>
    </row>
    <row r="26" spans="1:27" ht="12.75">
      <c r="A26" s="8" t="s">
        <v>18</v>
      </c>
      <c r="B26" s="16">
        <f>Units!H23</f>
        <v>0</v>
      </c>
      <c r="C26" s="15">
        <f>B26/B$16</f>
        <v>0</v>
      </c>
      <c r="D26" s="79">
        <f>(B26+B27)/(B30-B28)</f>
        <v>0.046153846153846156</v>
      </c>
      <c r="E26" s="9"/>
      <c r="F26" s="9" t="s">
        <v>18</v>
      </c>
      <c r="G26" s="20">
        <f>'$s @ YR 10'!H27</f>
        <v>0</v>
      </c>
      <c r="H26" s="55">
        <f>G26/G$30</f>
        <v>0</v>
      </c>
      <c r="I26" s="72">
        <f>(G26+G27)/(G30-G28)</f>
        <v>0.046153846153846156</v>
      </c>
      <c r="J26" s="10"/>
      <c r="L26" s="35">
        <f>$L$4*((B26)/(B$30-B$28))</f>
        <v>0</v>
      </c>
      <c r="M26" s="21">
        <f>L26</f>
        <v>0</v>
      </c>
      <c r="N26" s="24">
        <f>M26-L26</f>
        <v>0</v>
      </c>
      <c r="O26" s="36"/>
      <c r="Q26" s="8" t="s">
        <v>18</v>
      </c>
      <c r="R26" s="20">
        <f>G26+M26</f>
        <v>0</v>
      </c>
      <c r="S26" s="55">
        <f>R26/R$16</f>
        <v>0</v>
      </c>
      <c r="T26" s="72">
        <f>(R26+R27)/(R30-R28)</f>
        <v>0.04464237516869096</v>
      </c>
      <c r="U26" s="9"/>
      <c r="V26" s="9" t="s">
        <v>18</v>
      </c>
      <c r="W26" s="16">
        <f>B26+O26</f>
        <v>0</v>
      </c>
      <c r="X26" s="15">
        <f>W26/W$16</f>
        <v>0</v>
      </c>
      <c r="Y26" s="78">
        <f>(W26+W27)/(W30-W28)</f>
        <v>0.044642375168690955</v>
      </c>
      <c r="AA26" s="86">
        <f>T26-Y26</f>
        <v>0</v>
      </c>
    </row>
    <row r="27" spans="1:27" ht="12.75">
      <c r="A27" s="8" t="s">
        <v>4</v>
      </c>
      <c r="B27" s="16">
        <f>Units!H24</f>
        <v>450</v>
      </c>
      <c r="C27" s="15">
        <f>B27/B$16</f>
        <v>0.045</v>
      </c>
      <c r="D27" s="79"/>
      <c r="E27" s="9"/>
      <c r="F27" s="9" t="s">
        <v>4</v>
      </c>
      <c r="G27" s="21">
        <f>'$s @ YR 10'!H28</f>
        <v>44711538.461538464</v>
      </c>
      <c r="H27" s="55">
        <f>G27/G$30</f>
        <v>0.04471153846153846</v>
      </c>
      <c r="I27" s="72"/>
      <c r="J27" s="10"/>
      <c r="L27" s="35">
        <f>$L$4*((B27)/(B$30-B$28))</f>
        <v>4615384.615384616</v>
      </c>
      <c r="M27" s="37">
        <f>$L$5</f>
        <v>3000000</v>
      </c>
      <c r="N27" s="24">
        <f>M27-L27</f>
        <v>-1615384.615384616</v>
      </c>
      <c r="O27" s="36">
        <f>N27/((R30-R28)/(B30-B28))</f>
        <v>-14.736842105263165</v>
      </c>
      <c r="Q27" s="8" t="s">
        <v>4</v>
      </c>
      <c r="R27" s="21">
        <f>G27+M27</f>
        <v>47711538.461538464</v>
      </c>
      <c r="S27" s="55">
        <f>R27/R$16</f>
        <v>0.043374125874125875</v>
      </c>
      <c r="T27" s="72"/>
      <c r="U27" s="9"/>
      <c r="V27" s="9" t="s">
        <v>4</v>
      </c>
      <c r="W27" s="16">
        <f>B27+O27</f>
        <v>435.2631578947368</v>
      </c>
      <c r="X27" s="15">
        <f>W27/W$16</f>
        <v>0.04352631578947368</v>
      </c>
      <c r="Y27" s="78"/>
      <c r="AA27" s="86"/>
    </row>
    <row r="28" spans="1:25" ht="12.75">
      <c r="A28" s="8" t="s">
        <v>16</v>
      </c>
      <c r="B28" s="16">
        <f>Units!H25</f>
        <v>250</v>
      </c>
      <c r="C28" s="15">
        <f>B28/B$16</f>
        <v>0.025</v>
      </c>
      <c r="D28" s="15"/>
      <c r="E28" s="9"/>
      <c r="F28" s="9" t="s">
        <v>16</v>
      </c>
      <c r="G28" s="21">
        <f>'$s @ YR 10'!H29</f>
        <v>31250000</v>
      </c>
      <c r="H28" s="55">
        <f>G28/G$30</f>
        <v>0.03125</v>
      </c>
      <c r="I28" s="55"/>
      <c r="J28" s="10"/>
      <c r="L28" s="35">
        <v>0</v>
      </c>
      <c r="M28" s="21">
        <f>L28</f>
        <v>0</v>
      </c>
      <c r="N28" s="24">
        <f>M28-L28</f>
        <v>0</v>
      </c>
      <c r="O28" s="36"/>
      <c r="Q28" s="8" t="s">
        <v>16</v>
      </c>
      <c r="R28" s="21">
        <f>G28+M28</f>
        <v>31250000</v>
      </c>
      <c r="S28" s="55">
        <f>R28/R$16</f>
        <v>0.028409090909090908</v>
      </c>
      <c r="T28" s="55"/>
      <c r="U28" s="9"/>
      <c r="V28" s="9" t="s">
        <v>16</v>
      </c>
      <c r="W28" s="16">
        <f>B28+O28</f>
        <v>250</v>
      </c>
      <c r="X28" s="15">
        <f>W28/W$16</f>
        <v>0.024999999999999994</v>
      </c>
      <c r="Y28" s="39"/>
    </row>
    <row r="29" spans="1:25" ht="12.75">
      <c r="A29" s="8" t="s">
        <v>17</v>
      </c>
      <c r="B29" s="1">
        <f>Units!H26</f>
        <v>300</v>
      </c>
      <c r="C29" s="2">
        <f>B29/B$16</f>
        <v>0.03</v>
      </c>
      <c r="D29" s="2"/>
      <c r="E29" s="9"/>
      <c r="F29" s="9" t="s">
        <v>17</v>
      </c>
      <c r="G29" s="22">
        <f>'$s @ YR 10'!H30</f>
        <v>0</v>
      </c>
      <c r="H29" s="58">
        <f>G29/G$30</f>
        <v>0</v>
      </c>
      <c r="I29" s="58"/>
      <c r="J29" s="10"/>
      <c r="L29" s="38">
        <v>0</v>
      </c>
      <c r="M29" s="22">
        <f>L29</f>
        <v>0</v>
      </c>
      <c r="N29" s="24">
        <f>M29-L29</f>
        <v>0</v>
      </c>
      <c r="O29" s="36"/>
      <c r="Q29" s="8" t="s">
        <v>17</v>
      </c>
      <c r="R29" s="22">
        <f>G29+M29</f>
        <v>0</v>
      </c>
      <c r="S29" s="58">
        <f>R29/R$16</f>
        <v>0</v>
      </c>
      <c r="T29" s="58"/>
      <c r="U29" s="9"/>
      <c r="V29" s="9" t="s">
        <v>17</v>
      </c>
      <c r="W29" s="1">
        <f>B29+O29</f>
        <v>300</v>
      </c>
      <c r="X29" s="2">
        <f>W29/W$16</f>
        <v>0.029999999999999995</v>
      </c>
      <c r="Y29" s="40"/>
    </row>
    <row r="30" spans="1:25" ht="12.75">
      <c r="A30" s="8"/>
      <c r="B30" s="16">
        <f>SUM(B25:B29)</f>
        <v>10000</v>
      </c>
      <c r="C30" s="15">
        <f>SUM(C25:C29)</f>
        <v>1</v>
      </c>
      <c r="D30" s="15">
        <f>SUM(D25:D29)</f>
        <v>1</v>
      </c>
      <c r="E30" s="9"/>
      <c r="F30" s="9"/>
      <c r="G30" s="21">
        <f>SUM(G25:G29)</f>
        <v>1000000000</v>
      </c>
      <c r="H30" s="55">
        <f>SUM(H25:H29)</f>
        <v>1</v>
      </c>
      <c r="I30" s="55">
        <f>SUM(I25:I29)</f>
        <v>1</v>
      </c>
      <c r="J30" s="10"/>
      <c r="L30" s="35">
        <f>SUM(L25:L29)</f>
        <v>100000000</v>
      </c>
      <c r="M30" s="21">
        <f>SUM(M25:M29)</f>
        <v>100000000</v>
      </c>
      <c r="N30" s="9"/>
      <c r="O30" s="10"/>
      <c r="Q30" s="8"/>
      <c r="R30" s="21">
        <f>SUM(R25:R29)</f>
        <v>1100000000</v>
      </c>
      <c r="S30" s="55">
        <f>SUM(S25:S29)</f>
        <v>1</v>
      </c>
      <c r="T30" s="55">
        <f>SUM(T25:T29)</f>
        <v>1</v>
      </c>
      <c r="U30" s="9"/>
      <c r="V30" s="9"/>
      <c r="W30" s="16">
        <f>SUM(W25:W29)</f>
        <v>10000</v>
      </c>
      <c r="X30" s="15">
        <f>SUM(X25:X29)</f>
        <v>0.9999999999999999</v>
      </c>
      <c r="Y30" s="39">
        <f>SUM(Y25:Y29)</f>
        <v>1</v>
      </c>
    </row>
    <row r="31" spans="1:25" ht="12.75">
      <c r="A31" s="8"/>
      <c r="B31" s="16"/>
      <c r="C31" s="15"/>
      <c r="D31" s="15"/>
      <c r="E31" s="9"/>
      <c r="F31" s="9"/>
      <c r="G31" s="16"/>
      <c r="H31" s="15"/>
      <c r="I31" s="15"/>
      <c r="J31" s="10"/>
      <c r="L31" s="8"/>
      <c r="M31" s="9"/>
      <c r="N31" s="9"/>
      <c r="O31" s="10"/>
      <c r="Q31" s="8"/>
      <c r="R31" s="9"/>
      <c r="S31" s="9"/>
      <c r="T31" s="9"/>
      <c r="U31" s="9"/>
      <c r="V31" s="9"/>
      <c r="W31" s="9"/>
      <c r="X31" s="9"/>
      <c r="Y31" s="10"/>
    </row>
    <row r="32" spans="1:25" ht="12.75">
      <c r="A32" s="17"/>
      <c r="B32" s="1"/>
      <c r="C32" s="2"/>
      <c r="D32" s="2"/>
      <c r="E32" s="18"/>
      <c r="F32" s="18"/>
      <c r="G32" s="1"/>
      <c r="H32" s="2"/>
      <c r="I32" s="2"/>
      <c r="J32" s="19"/>
      <c r="L32" s="17"/>
      <c r="M32" s="18"/>
      <c r="N32" s="18"/>
      <c r="O32" s="19"/>
      <c r="Q32" s="17"/>
      <c r="R32" s="18"/>
      <c r="S32" s="18"/>
      <c r="T32" s="18"/>
      <c r="U32" s="18"/>
      <c r="V32" s="18"/>
      <c r="W32" s="18"/>
      <c r="X32" s="18"/>
      <c r="Y32" s="19"/>
    </row>
    <row r="34" spans="1:25" ht="25.5" customHeight="1">
      <c r="A34" s="85" t="str">
        <f>Units!A31</f>
        <v>OPTION 3 - CNP ELECT COMMON EQUITY OPTION AND FOX &amp; YORK ELECT PREFERRED EQUITY OPTION</v>
      </c>
      <c r="B34" s="61"/>
      <c r="C34" s="61"/>
      <c r="D34" s="61"/>
      <c r="E34" s="5"/>
      <c r="F34" s="80"/>
      <c r="G34" s="80"/>
      <c r="H34" s="80"/>
      <c r="I34" s="80"/>
      <c r="J34" s="81"/>
      <c r="L34" s="23"/>
      <c r="M34" s="5"/>
      <c r="N34" s="5"/>
      <c r="O34" s="7"/>
      <c r="Q34" s="4" t="s">
        <v>26</v>
      </c>
      <c r="R34" s="5"/>
      <c r="S34" s="5"/>
      <c r="T34" s="5"/>
      <c r="U34" s="5"/>
      <c r="V34" s="6" t="s">
        <v>27</v>
      </c>
      <c r="W34" s="5"/>
      <c r="X34" s="5"/>
      <c r="Y34" s="7"/>
    </row>
    <row r="35" spans="1:25" ht="12.75">
      <c r="A35" s="8"/>
      <c r="B35" s="9"/>
      <c r="C35" s="9"/>
      <c r="D35" s="9"/>
      <c r="E35" s="9"/>
      <c r="F35" s="9"/>
      <c r="G35" s="9"/>
      <c r="H35" s="9"/>
      <c r="I35" s="9"/>
      <c r="J35" s="10"/>
      <c r="L35" s="8"/>
      <c r="M35" s="9"/>
      <c r="N35" s="9"/>
      <c r="O35" s="10"/>
      <c r="Q35" s="8"/>
      <c r="R35" s="9"/>
      <c r="S35" s="9"/>
      <c r="T35" s="9"/>
      <c r="U35" s="9"/>
      <c r="V35" s="9"/>
      <c r="W35" s="9"/>
      <c r="X35" s="9"/>
      <c r="Y35" s="10"/>
    </row>
    <row r="36" spans="1:25" ht="63.75" customHeight="1">
      <c r="A36" s="11" t="s">
        <v>0</v>
      </c>
      <c r="B36" s="12" t="s">
        <v>1</v>
      </c>
      <c r="C36" s="12" t="s">
        <v>2</v>
      </c>
      <c r="D36" s="12" t="s">
        <v>3</v>
      </c>
      <c r="E36" s="9"/>
      <c r="F36" s="13" t="s">
        <v>0</v>
      </c>
      <c r="G36" s="12"/>
      <c r="H36" s="51" t="s">
        <v>6</v>
      </c>
      <c r="I36" s="51" t="s">
        <v>7</v>
      </c>
      <c r="J36" s="10"/>
      <c r="L36" s="34" t="s">
        <v>22</v>
      </c>
      <c r="M36" s="12" t="s">
        <v>23</v>
      </c>
      <c r="N36" s="12" t="s">
        <v>28</v>
      </c>
      <c r="O36" s="14" t="s">
        <v>29</v>
      </c>
      <c r="P36" s="3"/>
      <c r="Q36" s="11" t="s">
        <v>0</v>
      </c>
      <c r="R36" s="12"/>
      <c r="S36" s="51" t="s">
        <v>6</v>
      </c>
      <c r="T36" s="51" t="s">
        <v>7</v>
      </c>
      <c r="U36" s="12"/>
      <c r="V36" s="13" t="s">
        <v>0</v>
      </c>
      <c r="W36" s="12" t="s">
        <v>1</v>
      </c>
      <c r="X36" s="12" t="s">
        <v>2</v>
      </c>
      <c r="Y36" s="14" t="s">
        <v>3</v>
      </c>
    </row>
    <row r="37" spans="1:25" ht="12.75">
      <c r="A37" s="8"/>
      <c r="B37" s="9"/>
      <c r="C37" s="9"/>
      <c r="D37" s="9"/>
      <c r="E37" s="9"/>
      <c r="F37" s="9"/>
      <c r="G37" s="9"/>
      <c r="H37" s="53"/>
      <c r="I37" s="53"/>
      <c r="J37" s="10"/>
      <c r="L37" s="8"/>
      <c r="M37" s="9"/>
      <c r="N37" s="9"/>
      <c r="O37" s="10"/>
      <c r="Q37" s="8"/>
      <c r="R37" s="9"/>
      <c r="S37" s="53"/>
      <c r="T37" s="53"/>
      <c r="U37" s="9"/>
      <c r="V37" s="9"/>
      <c r="W37" s="9"/>
      <c r="X37" s="9"/>
      <c r="Y37" s="10"/>
    </row>
    <row r="38" spans="1:27" ht="12.75">
      <c r="A38" s="8" t="s">
        <v>14</v>
      </c>
      <c r="B38" s="50">
        <f>Units!H35</f>
        <v>8100</v>
      </c>
      <c r="C38" s="15">
        <f>B38/B$16</f>
        <v>0.81</v>
      </c>
      <c r="D38" s="15">
        <f>(B38+B42)/(B43-B41)</f>
        <v>0.8181818181818182</v>
      </c>
      <c r="E38" s="9"/>
      <c r="F38" s="9" t="s">
        <v>14</v>
      </c>
      <c r="G38" s="20">
        <f>'$s @ YR 10'!H39</f>
        <v>807954545.4545455</v>
      </c>
      <c r="H38" s="55">
        <f>G38/G$43</f>
        <v>0.8079545454545455</v>
      </c>
      <c r="I38" s="55">
        <f>(G38+G42)/(G43-G41)</f>
        <v>0.8181818181818182</v>
      </c>
      <c r="J38" s="10"/>
      <c r="K38" s="29"/>
      <c r="L38" s="35">
        <f>$L$4*((B38+B42)/(B$43-B$41))</f>
        <v>81818181.81818183</v>
      </c>
      <c r="M38" s="21">
        <f>$L$4-M39-M40-M41-M42</f>
        <v>86393939.39393939</v>
      </c>
      <c r="N38" s="24">
        <f>M38-L38</f>
        <v>4575757.575757563</v>
      </c>
      <c r="O38" s="36">
        <f>N38/((R43-R41)/(B43-B41))</f>
        <v>41.65517241379299</v>
      </c>
      <c r="Q38" s="8" t="s">
        <v>14</v>
      </c>
      <c r="R38" s="20">
        <f>G38+M38</f>
        <v>894348484.8484849</v>
      </c>
      <c r="S38" s="55">
        <f>R38/R$16</f>
        <v>0.8130440771349863</v>
      </c>
      <c r="T38" s="55">
        <f>(R38+R42)/(R43-R41)</f>
        <v>0.8223894113549286</v>
      </c>
      <c r="U38" s="9"/>
      <c r="V38" s="9" t="s">
        <v>14</v>
      </c>
      <c r="W38" s="50">
        <f>B38+O38</f>
        <v>8141.655172413793</v>
      </c>
      <c r="X38" s="15">
        <f>W38/W$16</f>
        <v>0.8141655172413791</v>
      </c>
      <c r="Y38" s="39">
        <f>(W38+W42)/(W43-W41)</f>
        <v>0.8223894113549285</v>
      </c>
      <c r="AA38" s="45">
        <f>T38-Y38</f>
        <v>0</v>
      </c>
    </row>
    <row r="39" spans="1:27" ht="12.75">
      <c r="A39" s="8" t="s">
        <v>18</v>
      </c>
      <c r="B39" s="16">
        <f>Units!H36</f>
        <v>1050</v>
      </c>
      <c r="C39" s="15">
        <f>B39/B$16</f>
        <v>0.105</v>
      </c>
      <c r="D39" s="79">
        <f>(B39+B40)/(B43-B41)</f>
        <v>0.18181818181818182</v>
      </c>
      <c r="E39" s="9"/>
      <c r="F39" s="9" t="s">
        <v>18</v>
      </c>
      <c r="G39" s="20">
        <f>'$s @ YR 10'!H40</f>
        <v>104734848.48484848</v>
      </c>
      <c r="H39" s="55">
        <f>G39/G$43</f>
        <v>0.10473484848484849</v>
      </c>
      <c r="I39" s="72">
        <f>(G39+G40)/(G43-G41)</f>
        <v>0.18181818181818182</v>
      </c>
      <c r="J39" s="10"/>
      <c r="K39" s="29"/>
      <c r="L39" s="35">
        <f>$L$4*((B39)/(B$43-B$41))</f>
        <v>10606060.606060605</v>
      </c>
      <c r="M39" s="21">
        <f>L39</f>
        <v>10606060.606060605</v>
      </c>
      <c r="N39" s="24">
        <f>M39-L39</f>
        <v>0</v>
      </c>
      <c r="O39" s="36"/>
      <c r="Q39" s="8" t="s">
        <v>18</v>
      </c>
      <c r="R39" s="20">
        <f>G39+M39</f>
        <v>115340909.0909091</v>
      </c>
      <c r="S39" s="55">
        <f>R39/R$16</f>
        <v>0.10485537190082644</v>
      </c>
      <c r="T39" s="72">
        <f>(R39+R40)/(R43-R41)</f>
        <v>0.1776105886450714</v>
      </c>
      <c r="U39" s="9"/>
      <c r="V39" s="9" t="s">
        <v>18</v>
      </c>
      <c r="W39" s="16">
        <f>B39+O39</f>
        <v>1050</v>
      </c>
      <c r="X39" s="15">
        <f>W39/W$16</f>
        <v>0.10499999999999998</v>
      </c>
      <c r="Y39" s="78">
        <f>(W39+W40)/(W43-W41)</f>
        <v>0.1776105886450714</v>
      </c>
      <c r="AA39" s="86">
        <f>T39-Y39</f>
        <v>0</v>
      </c>
    </row>
    <row r="40" spans="1:27" ht="12.75">
      <c r="A40" s="8" t="s">
        <v>4</v>
      </c>
      <c r="B40" s="16">
        <f>Units!H37</f>
        <v>750</v>
      </c>
      <c r="C40" s="15">
        <f>B40/B$16</f>
        <v>0.075</v>
      </c>
      <c r="D40" s="79"/>
      <c r="E40" s="9"/>
      <c r="F40" s="9" t="s">
        <v>4</v>
      </c>
      <c r="G40" s="21">
        <f>'$s @ YR 10'!H41</f>
        <v>74810606.06060606</v>
      </c>
      <c r="H40" s="55">
        <f>G40/G$43</f>
        <v>0.07481060606060606</v>
      </c>
      <c r="I40" s="72"/>
      <c r="J40" s="10"/>
      <c r="K40" s="29"/>
      <c r="L40" s="35">
        <f>$L$4*((B40)/(B$43-B$41))</f>
        <v>7575757.575757576</v>
      </c>
      <c r="M40" s="37">
        <f>$L$5</f>
        <v>3000000</v>
      </c>
      <c r="N40" s="24">
        <f>M40-L40</f>
        <v>-4575757.575757576</v>
      </c>
      <c r="O40" s="36">
        <f>N40/((R43-R41)/(B43-B41))</f>
        <v>-41.65517241379311</v>
      </c>
      <c r="Q40" s="8" t="s">
        <v>4</v>
      </c>
      <c r="R40" s="21">
        <f>G40+M40</f>
        <v>77810606.06060606</v>
      </c>
      <c r="S40" s="55">
        <f>R40/R$16</f>
        <v>0.07073691460055097</v>
      </c>
      <c r="T40" s="72"/>
      <c r="U40" s="9"/>
      <c r="V40" s="9" t="s">
        <v>4</v>
      </c>
      <c r="W40" s="16">
        <f>B40+O40</f>
        <v>708.3448275862069</v>
      </c>
      <c r="X40" s="15">
        <f>W40/W$16</f>
        <v>0.07083448275862067</v>
      </c>
      <c r="Y40" s="78"/>
      <c r="AA40" s="86"/>
    </row>
    <row r="41" spans="1:25" ht="12.75">
      <c r="A41" s="8" t="s">
        <v>16</v>
      </c>
      <c r="B41" s="16">
        <f>Units!H38</f>
        <v>100</v>
      </c>
      <c r="C41" s="15">
        <f>B41/B$16</f>
        <v>0.01</v>
      </c>
      <c r="D41" s="15"/>
      <c r="E41" s="9"/>
      <c r="F41" s="9" t="s">
        <v>16</v>
      </c>
      <c r="G41" s="21">
        <f>'$s @ YR 10'!H42</f>
        <v>12500000</v>
      </c>
      <c r="H41" s="55">
        <f>G41/G$43</f>
        <v>0.0125</v>
      </c>
      <c r="I41" s="55"/>
      <c r="J41" s="10"/>
      <c r="K41" s="29"/>
      <c r="L41" s="35">
        <v>0</v>
      </c>
      <c r="M41" s="21">
        <f>L41</f>
        <v>0</v>
      </c>
      <c r="N41" s="24">
        <f>M41-L41</f>
        <v>0</v>
      </c>
      <c r="O41" s="36"/>
      <c r="Q41" s="8" t="s">
        <v>16</v>
      </c>
      <c r="R41" s="21">
        <f>G41+M41</f>
        <v>12500000</v>
      </c>
      <c r="S41" s="55">
        <f>R41/R$16</f>
        <v>0.011363636363636364</v>
      </c>
      <c r="T41" s="55"/>
      <c r="U41" s="9"/>
      <c r="V41" s="9" t="s">
        <v>16</v>
      </c>
      <c r="W41" s="16">
        <f>B41+O41</f>
        <v>100</v>
      </c>
      <c r="X41" s="15">
        <f>W41/W$16</f>
        <v>0.009999999999999998</v>
      </c>
      <c r="Y41" s="39"/>
    </row>
    <row r="42" spans="1:25" ht="12.75">
      <c r="A42" s="8" t="s">
        <v>17</v>
      </c>
      <c r="B42" s="1">
        <f>Units!H39</f>
        <v>0</v>
      </c>
      <c r="C42" s="2">
        <f>B42/B$16</f>
        <v>0</v>
      </c>
      <c r="D42" s="2"/>
      <c r="E42" s="9"/>
      <c r="F42" s="9" t="s">
        <v>17</v>
      </c>
      <c r="G42" s="22">
        <f>'$s @ YR 10'!H43</f>
        <v>0</v>
      </c>
      <c r="H42" s="58">
        <f>G42/G$43</f>
        <v>0</v>
      </c>
      <c r="I42" s="58"/>
      <c r="J42" s="10"/>
      <c r="K42" s="29"/>
      <c r="L42" s="38">
        <v>0</v>
      </c>
      <c r="M42" s="22">
        <f>L42</f>
        <v>0</v>
      </c>
      <c r="N42" s="24">
        <f>M42-L42</f>
        <v>0</v>
      </c>
      <c r="O42" s="36"/>
      <c r="Q42" s="8" t="s">
        <v>17</v>
      </c>
      <c r="R42" s="22">
        <f>G42+M42</f>
        <v>0</v>
      </c>
      <c r="S42" s="58">
        <f>R42/R$16</f>
        <v>0</v>
      </c>
      <c r="T42" s="58"/>
      <c r="U42" s="9"/>
      <c r="V42" s="9" t="s">
        <v>17</v>
      </c>
      <c r="W42" s="1">
        <f>B42+O42</f>
        <v>0</v>
      </c>
      <c r="X42" s="2">
        <f>W42/W$16</f>
        <v>0</v>
      </c>
      <c r="Y42" s="40"/>
    </row>
    <row r="43" spans="1:25" ht="12.75">
      <c r="A43" s="8"/>
      <c r="B43" s="16">
        <f>SUM(B38:B42)</f>
        <v>10000</v>
      </c>
      <c r="C43" s="15">
        <f>SUM(C38:C42)</f>
        <v>1</v>
      </c>
      <c r="D43" s="15">
        <f>SUM(D38:D42)</f>
        <v>1</v>
      </c>
      <c r="E43" s="9"/>
      <c r="F43" s="9"/>
      <c r="G43" s="21">
        <f>SUM(G38:G42)</f>
        <v>1000000000</v>
      </c>
      <c r="H43" s="55">
        <f>SUM(H38:H42)</f>
        <v>1</v>
      </c>
      <c r="I43" s="55">
        <f>SUM(I38:I42)</f>
        <v>1</v>
      </c>
      <c r="J43" s="10"/>
      <c r="L43" s="35">
        <f>SUM(L38:L42)</f>
        <v>100000000.00000001</v>
      </c>
      <c r="M43" s="21">
        <f>SUM(M38:M42)</f>
        <v>100000000</v>
      </c>
      <c r="N43" s="9"/>
      <c r="O43" s="10"/>
      <c r="Q43" s="8"/>
      <c r="R43" s="21">
        <f>SUM(R38:R42)</f>
        <v>1100000000</v>
      </c>
      <c r="S43" s="55">
        <f>SUM(S38:S42)</f>
        <v>1.0000000000000002</v>
      </c>
      <c r="T43" s="55">
        <f>SUM(T38:T42)</f>
        <v>1</v>
      </c>
      <c r="U43" s="9"/>
      <c r="V43" s="9"/>
      <c r="W43" s="16">
        <f>SUM(W38:W42)</f>
        <v>10000</v>
      </c>
      <c r="X43" s="15">
        <f>SUM(X38:X42)</f>
        <v>0.9999999999999998</v>
      </c>
      <c r="Y43" s="39">
        <f>SUM(Y38:Y42)</f>
        <v>0.9999999999999999</v>
      </c>
    </row>
    <row r="44" spans="1:25" ht="12.75">
      <c r="A44" s="8"/>
      <c r="B44" s="21"/>
      <c r="C44" s="15"/>
      <c r="D44" s="15"/>
      <c r="E44" s="9"/>
      <c r="F44" s="9"/>
      <c r="G44" s="21"/>
      <c r="H44" s="15"/>
      <c r="I44" s="15"/>
      <c r="J44" s="10"/>
      <c r="L44" s="8"/>
      <c r="M44" s="9"/>
      <c r="N44" s="9"/>
      <c r="O44" s="10"/>
      <c r="Q44" s="8"/>
      <c r="R44" s="9"/>
      <c r="S44" s="9"/>
      <c r="T44" s="9"/>
      <c r="U44" s="9"/>
      <c r="V44" s="9"/>
      <c r="W44" s="9"/>
      <c r="X44" s="9"/>
      <c r="Y44" s="10"/>
    </row>
    <row r="45" spans="1:25" ht="12.75">
      <c r="A45" s="8"/>
      <c r="B45" s="9"/>
      <c r="C45" s="9"/>
      <c r="D45" s="9"/>
      <c r="E45" s="9"/>
      <c r="F45" s="9"/>
      <c r="G45" s="9"/>
      <c r="H45" s="9"/>
      <c r="I45" s="9"/>
      <c r="J45" s="10"/>
      <c r="L45" s="8"/>
      <c r="M45" s="9"/>
      <c r="N45" s="9"/>
      <c r="O45" s="10"/>
      <c r="Q45" s="8"/>
      <c r="R45" s="21"/>
      <c r="S45" s="9"/>
      <c r="T45" s="9"/>
      <c r="U45" s="9"/>
      <c r="V45" s="9"/>
      <c r="W45" s="9"/>
      <c r="X45" s="9"/>
      <c r="Y45" s="10"/>
    </row>
    <row r="46" spans="1:25" ht="12.75">
      <c r="A46" s="17"/>
      <c r="B46" s="18"/>
      <c r="C46" s="18"/>
      <c r="D46" s="18"/>
      <c r="E46" s="18"/>
      <c r="F46" s="18"/>
      <c r="G46" s="18"/>
      <c r="H46" s="18"/>
      <c r="I46" s="18"/>
      <c r="J46" s="19"/>
      <c r="L46" s="17"/>
      <c r="M46" s="18"/>
      <c r="N46" s="18"/>
      <c r="O46" s="19"/>
      <c r="Q46" s="17"/>
      <c r="R46" s="18"/>
      <c r="S46" s="18"/>
      <c r="T46" s="18"/>
      <c r="U46" s="18"/>
      <c r="V46" s="18"/>
      <c r="W46" s="18"/>
      <c r="X46" s="18"/>
      <c r="Y46" s="19"/>
    </row>
    <row r="47" ht="12.75">
      <c r="G47" s="25"/>
    </row>
    <row r="48" ht="12.75" hidden="1" outlineLevel="1">
      <c r="G48" s="25"/>
    </row>
    <row r="49" spans="1:24" ht="12.75" hidden="1" outlineLevel="1">
      <c r="A49" s="71" t="s">
        <v>36</v>
      </c>
      <c r="B49" s="71"/>
      <c r="C49" s="77" t="s">
        <v>35</v>
      </c>
      <c r="D49" s="77"/>
      <c r="E49" s="77"/>
      <c r="F49" s="77"/>
      <c r="G49" s="77"/>
      <c r="I49" s="48" t="s">
        <v>33</v>
      </c>
      <c r="J49" s="48"/>
      <c r="K49" s="48"/>
      <c r="L49" s="48"/>
      <c r="M49" s="48"/>
      <c r="N49" s="48"/>
      <c r="O49" s="48"/>
      <c r="P49" s="48"/>
      <c r="Q49" s="48"/>
      <c r="R49" s="48"/>
      <c r="S49" s="18"/>
      <c r="T49" s="18"/>
      <c r="U49" s="18"/>
      <c r="V49" s="18"/>
      <c r="W49" s="18"/>
      <c r="X49" s="18"/>
    </row>
    <row r="50" spans="1:24" ht="12.75" hidden="1" outlineLevel="1">
      <c r="A50" s="71"/>
      <c r="B50" s="71"/>
      <c r="C50" s="77"/>
      <c r="D50" s="77"/>
      <c r="E50" s="77"/>
      <c r="F50" s="77"/>
      <c r="G50" s="77"/>
      <c r="I50" s="70" t="s">
        <v>34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ht="12.75" hidden="1" outlineLevel="1"/>
    <row r="52" spans="1:25" ht="12.75" collapsed="1">
      <c r="A52" s="59" t="s">
        <v>55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1:11" ht="12.75" collapsed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  <row r="54" ht="12.75" collapsed="1"/>
  </sheetData>
  <mergeCells count="25">
    <mergeCell ref="AA12:AA13"/>
    <mergeCell ref="AA26:AA27"/>
    <mergeCell ref="AA39:AA40"/>
    <mergeCell ref="A34:D34"/>
    <mergeCell ref="I39:I40"/>
    <mergeCell ref="D39:D40"/>
    <mergeCell ref="T39:T40"/>
    <mergeCell ref="Y39:Y40"/>
    <mergeCell ref="F34:J34"/>
    <mergeCell ref="T12:T13"/>
    <mergeCell ref="F7:J7"/>
    <mergeCell ref="F21:J21"/>
    <mergeCell ref="A5:J5"/>
    <mergeCell ref="I12:I13"/>
    <mergeCell ref="D12:D13"/>
    <mergeCell ref="A7:D7"/>
    <mergeCell ref="A21:D21"/>
    <mergeCell ref="I50:X50"/>
    <mergeCell ref="A49:B50"/>
    <mergeCell ref="C49:G50"/>
    <mergeCell ref="Y12:Y13"/>
    <mergeCell ref="T26:T27"/>
    <mergeCell ref="Y26:Y27"/>
    <mergeCell ref="I26:I27"/>
    <mergeCell ref="D26:D27"/>
  </mergeCells>
  <printOptions horizontalCentered="1"/>
  <pageMargins left="0.75" right="0.5" top="0.75" bottom="0.75" header="0.5" footer="0.5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Sandra Jackson</cp:lastModifiedBy>
  <cp:lastPrinted>2008-08-01T17:45:48Z</cp:lastPrinted>
  <dcterms:created xsi:type="dcterms:W3CDTF">2008-08-01T17:02:09Z</dcterms:created>
  <dcterms:modified xsi:type="dcterms:W3CDTF">2008-08-05T21:31:50Z</dcterms:modified>
  <cp:category> </cp:category>
  <cp:version/>
  <cp:contentType/>
  <cp:contentStatus/>
</cp:coreProperties>
</file>